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azi\Documents\"/>
    </mc:Choice>
  </mc:AlternateContent>
  <xr:revisionPtr revIDLastSave="0" documentId="8_{901AE3E3-BC98-4F67-8945-6E76A344CE18}" xr6:coauthVersionLast="47" xr6:coauthVersionMax="47" xr10:uidLastSave="{00000000-0000-0000-0000-000000000000}"/>
  <bookViews>
    <workbookView xWindow="-120" yWindow="-120" windowWidth="29040" windowHeight="16440" activeTab="4" xr2:uid="{51658058-8315-A640-B733-1DFC39D6EEC8}"/>
  </bookViews>
  <sheets>
    <sheet name="Assumptions" sheetId="2" r:id="rId1"/>
    <sheet name="Income Statement" sheetId="3" r:id="rId2"/>
    <sheet name="Balance Sheet" sheetId="4" r:id="rId3"/>
    <sheet name="Cash Flow" sheetId="5" r:id="rId4"/>
    <sheet name="DCF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7" l="1"/>
  <c r="D83" i="7"/>
  <c r="E85" i="7"/>
  <c r="D85" i="7"/>
  <c r="E84" i="7"/>
  <c r="D84" i="7"/>
  <c r="E83" i="7"/>
  <c r="E82" i="7"/>
  <c r="D82" i="7"/>
  <c r="H42" i="7"/>
  <c r="H41" i="7"/>
  <c r="H40" i="7"/>
  <c r="H38" i="7"/>
  <c r="H37" i="7"/>
  <c r="H36" i="7"/>
  <c r="H35" i="7"/>
  <c r="H31" i="7"/>
  <c r="G42" i="7"/>
  <c r="G41" i="7"/>
  <c r="G40" i="7"/>
  <c r="G38" i="7"/>
  <c r="G37" i="7"/>
  <c r="G36" i="7"/>
  <c r="G35" i="7"/>
  <c r="G31" i="7"/>
  <c r="F42" i="7"/>
  <c r="F41" i="7"/>
  <c r="F40" i="7"/>
  <c r="F38" i="7"/>
  <c r="F37" i="7"/>
  <c r="F36" i="7"/>
  <c r="F35" i="7"/>
  <c r="F31" i="7"/>
  <c r="E42" i="7"/>
  <c r="E41" i="7"/>
  <c r="E40" i="7"/>
  <c r="E38" i="7"/>
  <c r="E37" i="7"/>
  <c r="E36" i="7"/>
  <c r="E35" i="7"/>
  <c r="E31" i="7"/>
  <c r="D42" i="7"/>
  <c r="D41" i="7"/>
  <c r="D40" i="7"/>
  <c r="D38" i="7"/>
  <c r="D37" i="7"/>
  <c r="D36" i="7"/>
  <c r="D35" i="7"/>
  <c r="D31" i="7"/>
  <c r="D30" i="7"/>
  <c r="D20" i="7"/>
  <c r="D16" i="7"/>
  <c r="D11" i="7"/>
  <c r="F41" i="5"/>
  <c r="J34" i="5"/>
  <c r="J33" i="5"/>
  <c r="J28" i="5"/>
  <c r="J27" i="5"/>
  <c r="J21" i="5"/>
  <c r="J17" i="5"/>
  <c r="J16" i="5"/>
  <c r="J15" i="5"/>
  <c r="J9" i="5"/>
  <c r="I34" i="5"/>
  <c r="I33" i="5"/>
  <c r="I30" i="5"/>
  <c r="I28" i="5"/>
  <c r="I27" i="5"/>
  <c r="I21" i="5"/>
  <c r="I17" i="5"/>
  <c r="I16" i="5"/>
  <c r="I15" i="5"/>
  <c r="I9" i="5"/>
  <c r="H34" i="5"/>
  <c r="H33" i="5"/>
  <c r="H28" i="5"/>
  <c r="H27" i="5"/>
  <c r="H21" i="5"/>
  <c r="H17" i="5"/>
  <c r="H16" i="5"/>
  <c r="H15" i="5"/>
  <c r="H9" i="5"/>
  <c r="G34" i="5"/>
  <c r="G33" i="5"/>
  <c r="G28" i="5"/>
  <c r="G27" i="5"/>
  <c r="G21" i="5"/>
  <c r="G17" i="5"/>
  <c r="G16" i="5"/>
  <c r="G15" i="5"/>
  <c r="G9" i="5"/>
  <c r="F34" i="5"/>
  <c r="F33" i="5"/>
  <c r="F28" i="5"/>
  <c r="F27" i="5"/>
  <c r="F22" i="5"/>
  <c r="F21" i="5"/>
  <c r="F20" i="5"/>
  <c r="F17" i="5"/>
  <c r="F16" i="5"/>
  <c r="F15" i="5"/>
  <c r="F9" i="5"/>
  <c r="E38" i="5"/>
  <c r="D38" i="5"/>
  <c r="E30" i="5"/>
  <c r="D30" i="5"/>
  <c r="E14" i="5"/>
  <c r="D14" i="5"/>
  <c r="E12" i="5"/>
  <c r="D12" i="5"/>
  <c r="J24" i="3"/>
  <c r="I24" i="3"/>
  <c r="H24" i="3"/>
  <c r="G24" i="3"/>
  <c r="F24" i="3"/>
  <c r="J36" i="4"/>
  <c r="J17" i="4"/>
  <c r="J16" i="4"/>
  <c r="J15" i="4"/>
  <c r="I36" i="4"/>
  <c r="I17" i="4"/>
  <c r="I16" i="4"/>
  <c r="I15" i="4"/>
  <c r="H36" i="4"/>
  <c r="H17" i="4"/>
  <c r="H16" i="4"/>
  <c r="H15" i="4"/>
  <c r="G36" i="4"/>
  <c r="G17" i="4"/>
  <c r="G16" i="4"/>
  <c r="G15" i="4"/>
  <c r="F38" i="4"/>
  <c r="F36" i="4"/>
  <c r="F32" i="4"/>
  <c r="F37" i="4"/>
  <c r="F25" i="4"/>
  <c r="F17" i="4"/>
  <c r="F16" i="4"/>
  <c r="F15" i="4"/>
  <c r="F11" i="4"/>
  <c r="F10" i="4"/>
  <c r="F9" i="4"/>
  <c r="F8" i="4"/>
  <c r="E39" i="4"/>
  <c r="D39" i="4"/>
  <c r="C39" i="4"/>
  <c r="E33" i="4"/>
  <c r="D33" i="4"/>
  <c r="C33" i="4"/>
  <c r="E26" i="4"/>
  <c r="D26" i="4"/>
  <c r="C26" i="4"/>
  <c r="E19" i="4"/>
  <c r="D19" i="4"/>
  <c r="C19" i="4"/>
  <c r="E12" i="4"/>
  <c r="D12" i="4"/>
  <c r="C12" i="4"/>
  <c r="J16" i="3"/>
  <c r="J15" i="3"/>
  <c r="J11" i="3"/>
  <c r="J7" i="3"/>
  <c r="I16" i="3"/>
  <c r="I15" i="3"/>
  <c r="I11" i="3"/>
  <c r="I7" i="3"/>
  <c r="H16" i="3"/>
  <c r="H15" i="3"/>
  <c r="H11" i="3"/>
  <c r="H7" i="3"/>
  <c r="G16" i="3"/>
  <c r="G15" i="3"/>
  <c r="G11" i="3"/>
  <c r="G7" i="3"/>
  <c r="F25" i="3"/>
  <c r="F16" i="3"/>
  <c r="F15" i="3"/>
  <c r="F11" i="3"/>
  <c r="F9" i="3"/>
  <c r="F7" i="3"/>
  <c r="E22" i="3"/>
  <c r="D22" i="3"/>
  <c r="E17" i="3"/>
  <c r="D17" i="3"/>
  <c r="E13" i="3"/>
  <c r="E12" i="3"/>
  <c r="D12" i="3"/>
  <c r="J47" i="2"/>
  <c r="J46" i="2"/>
  <c r="I47" i="2"/>
  <c r="I46" i="2"/>
  <c r="H47" i="2"/>
  <c r="H46" i="2"/>
  <c r="G47" i="2"/>
  <c r="G46" i="2"/>
  <c r="F47" i="2"/>
  <c r="F46" i="2"/>
  <c r="E43" i="2"/>
  <c r="D43" i="2"/>
  <c r="E42" i="2"/>
  <c r="D42" i="2"/>
  <c r="E41" i="2"/>
  <c r="D41" i="2"/>
  <c r="E40" i="2"/>
  <c r="D40" i="2"/>
  <c r="E39" i="2"/>
  <c r="D39" i="2"/>
  <c r="E36" i="2"/>
  <c r="D36" i="2"/>
  <c r="E35" i="2"/>
  <c r="D35" i="2"/>
  <c r="E34" i="2"/>
  <c r="D34" i="2"/>
  <c r="F31" i="2"/>
  <c r="F30" i="2"/>
  <c r="F29" i="2"/>
  <c r="F28" i="2"/>
  <c r="E31" i="2"/>
  <c r="D31" i="2"/>
  <c r="F24" i="2"/>
  <c r="F23" i="2"/>
  <c r="F22" i="2"/>
  <c r="E25" i="2"/>
  <c r="D25" i="2"/>
  <c r="E19" i="2"/>
  <c r="D19" i="2"/>
  <c r="E17" i="2"/>
  <c r="D17" i="2"/>
  <c r="E15" i="2"/>
  <c r="D15" i="2"/>
  <c r="E13" i="2"/>
  <c r="D13" i="2"/>
  <c r="F8" i="2"/>
  <c r="E9" i="2"/>
  <c r="H39" i="7" l="1"/>
  <c r="H34" i="7"/>
  <c r="G39" i="7"/>
  <c r="E39" i="7"/>
  <c r="D32" i="7"/>
  <c r="F39" i="7"/>
  <c r="F34" i="7"/>
  <c r="E34" i="7"/>
  <c r="D39" i="7"/>
  <c r="G34" i="7"/>
  <c r="D34" i="7"/>
  <c r="D22" i="7"/>
  <c r="D21" i="7"/>
  <c r="J30" i="5"/>
  <c r="H14" i="5"/>
  <c r="J14" i="5"/>
  <c r="G30" i="5"/>
  <c r="I14" i="5"/>
  <c r="G20" i="5"/>
  <c r="H20" i="5" s="1"/>
  <c r="I20" i="5" s="1"/>
  <c r="J20" i="5" s="1"/>
  <c r="G14" i="5"/>
  <c r="H30" i="5"/>
  <c r="F30" i="5"/>
  <c r="F14" i="5"/>
  <c r="E40" i="5"/>
  <c r="E43" i="5" s="1"/>
  <c r="D40" i="5"/>
  <c r="D43" i="5" s="1"/>
  <c r="D18" i="5"/>
  <c r="D24" i="5" s="1"/>
  <c r="E18" i="5"/>
  <c r="E24" i="5" s="1"/>
  <c r="F31" i="4"/>
  <c r="F12" i="4"/>
  <c r="G32" i="4"/>
  <c r="H32" i="4" s="1"/>
  <c r="I32" i="4" s="1"/>
  <c r="J32" i="4" s="1"/>
  <c r="G11" i="4"/>
  <c r="H11" i="4" s="1"/>
  <c r="I11" i="4" s="1"/>
  <c r="J11" i="4" s="1"/>
  <c r="G38" i="4"/>
  <c r="H38" i="4" s="1"/>
  <c r="I38" i="4" s="1"/>
  <c r="J38" i="4" s="1"/>
  <c r="G25" i="4"/>
  <c r="G10" i="4"/>
  <c r="H10" i="4" s="1"/>
  <c r="I10" i="4" s="1"/>
  <c r="J10" i="4" s="1"/>
  <c r="G9" i="4"/>
  <c r="H9" i="4" s="1"/>
  <c r="I9" i="4" s="1"/>
  <c r="J9" i="4" s="1"/>
  <c r="G8" i="4"/>
  <c r="F39" i="4"/>
  <c r="E41" i="4"/>
  <c r="E43" i="4" s="1"/>
  <c r="D41" i="4"/>
  <c r="D43" i="4" s="1"/>
  <c r="C41" i="4"/>
  <c r="C43" i="4" s="1"/>
  <c r="E28" i="4"/>
  <c r="D28" i="4"/>
  <c r="C28" i="4"/>
  <c r="E21" i="4"/>
  <c r="D21" i="4"/>
  <c r="C21" i="4"/>
  <c r="H17" i="3"/>
  <c r="G25" i="3"/>
  <c r="H25" i="3" s="1"/>
  <c r="F17" i="3"/>
  <c r="J17" i="3"/>
  <c r="G17" i="3"/>
  <c r="F23" i="3"/>
  <c r="F22" i="3"/>
  <c r="I17" i="3"/>
  <c r="F8" i="3"/>
  <c r="F12" i="3" s="1"/>
  <c r="E19" i="3"/>
  <c r="D19" i="3"/>
  <c r="D13" i="3"/>
  <c r="F25" i="2"/>
  <c r="G29" i="2"/>
  <c r="H29" i="2" s="1"/>
  <c r="G23" i="2"/>
  <c r="H23" i="2" s="1"/>
  <c r="I23" i="2" s="1"/>
  <c r="G30" i="2"/>
  <c r="H30" i="2" s="1"/>
  <c r="I30" i="2" s="1"/>
  <c r="J30" i="2" s="1"/>
  <c r="G28" i="2"/>
  <c r="I29" i="2"/>
  <c r="J29" i="2" s="1"/>
  <c r="J23" i="2"/>
  <c r="G22" i="2"/>
  <c r="G24" i="2"/>
  <c r="H24" i="2" s="1"/>
  <c r="I24" i="2" s="1"/>
  <c r="J24" i="2" s="1"/>
  <c r="F12" i="2"/>
  <c r="F16" i="2"/>
  <c r="F14" i="2"/>
  <c r="G8" i="2"/>
  <c r="D44" i="7" l="1"/>
  <c r="F33" i="4"/>
  <c r="F41" i="4" s="1"/>
  <c r="G37" i="4"/>
  <c r="G39" i="4" s="1"/>
  <c r="H25" i="4"/>
  <c r="G12" i="4"/>
  <c r="H8" i="4"/>
  <c r="F13" i="3"/>
  <c r="F19" i="3"/>
  <c r="I25" i="3"/>
  <c r="G23" i="3"/>
  <c r="H23" i="3"/>
  <c r="E20" i="3"/>
  <c r="E27" i="3"/>
  <c r="D20" i="3"/>
  <c r="D27" i="3"/>
  <c r="H28" i="2"/>
  <c r="G31" i="2"/>
  <c r="H22" i="2"/>
  <c r="G25" i="2"/>
  <c r="H8" i="2"/>
  <c r="G16" i="2"/>
  <c r="G12" i="2"/>
  <c r="G14" i="2"/>
  <c r="H47" i="7" l="1"/>
  <c r="G47" i="7"/>
  <c r="F47" i="7"/>
  <c r="E47" i="7"/>
  <c r="D47" i="7"/>
  <c r="D48" i="7" s="1"/>
  <c r="I25" i="4"/>
  <c r="I8" i="4"/>
  <c r="H12" i="4"/>
  <c r="G31" i="4"/>
  <c r="F27" i="3"/>
  <c r="F20" i="3"/>
  <c r="I23" i="3"/>
  <c r="J25" i="3"/>
  <c r="E30" i="3"/>
  <c r="E33" i="3" s="1"/>
  <c r="E36" i="3" s="1"/>
  <c r="E29" i="3"/>
  <c r="D29" i="3"/>
  <c r="D30" i="3"/>
  <c r="D33" i="3" s="1"/>
  <c r="D36" i="3" s="1"/>
  <c r="H31" i="2"/>
  <c r="I28" i="2"/>
  <c r="I22" i="2"/>
  <c r="H25" i="2"/>
  <c r="I8" i="2"/>
  <c r="H16" i="2"/>
  <c r="H14" i="2"/>
  <c r="H12" i="2"/>
  <c r="J25" i="4" l="1"/>
  <c r="I12" i="4"/>
  <c r="J8" i="4"/>
  <c r="J12" i="4" s="1"/>
  <c r="G33" i="4"/>
  <c r="G41" i="4" s="1"/>
  <c r="H37" i="4"/>
  <c r="H39" i="4" s="1"/>
  <c r="F28" i="3"/>
  <c r="I31" i="2"/>
  <c r="J28" i="2"/>
  <c r="J31" i="2" s="1"/>
  <c r="J22" i="2"/>
  <c r="J25" i="2" s="1"/>
  <c r="I25" i="2"/>
  <c r="J8" i="2"/>
  <c r="I14" i="2"/>
  <c r="I12" i="2"/>
  <c r="I16" i="2"/>
  <c r="F29" i="3" l="1"/>
  <c r="F11" i="5"/>
  <c r="F23" i="5"/>
  <c r="H31" i="4"/>
  <c r="J23" i="3"/>
  <c r="F30" i="3"/>
  <c r="F8" i="5" s="1"/>
  <c r="F12" i="5" s="1"/>
  <c r="F18" i="5" s="1"/>
  <c r="F24" i="5" s="1"/>
  <c r="J12" i="2"/>
  <c r="J16" i="2"/>
  <c r="J14" i="2"/>
  <c r="I37" i="4" l="1"/>
  <c r="I39" i="4" s="1"/>
  <c r="H33" i="4"/>
  <c r="H41" i="4" s="1"/>
  <c r="F32" i="3"/>
  <c r="F27" i="4" l="1"/>
  <c r="F37" i="5"/>
  <c r="I31" i="4"/>
  <c r="F33" i="3"/>
  <c r="I33" i="4" l="1"/>
  <c r="I41" i="4" s="1"/>
  <c r="J37" i="4"/>
  <c r="J39" i="4" s="1"/>
  <c r="J31" i="4"/>
  <c r="J33" i="4" s="1"/>
  <c r="J41" i="4" s="1"/>
  <c r="F35" i="3"/>
  <c r="F36" i="3" l="1"/>
  <c r="F24" i="4"/>
  <c r="F35" i="5"/>
  <c r="F38" i="5" s="1"/>
  <c r="F40" i="5" s="1"/>
  <c r="F43" i="5" s="1"/>
  <c r="F26" i="4" l="1"/>
  <c r="F28" i="4" s="1"/>
  <c r="F43" i="4"/>
  <c r="F18" i="4"/>
  <c r="G9" i="3" l="1"/>
  <c r="F19" i="4"/>
  <c r="F21" i="4" s="1"/>
  <c r="G41" i="5"/>
  <c r="G22" i="5" l="1"/>
  <c r="G8" i="3"/>
  <c r="G12" i="3" s="1"/>
  <c r="G22" i="3"/>
  <c r="G19" i="3" l="1"/>
  <c r="G13" i="3"/>
  <c r="G27" i="3" l="1"/>
  <c r="G20" i="3"/>
  <c r="E30" i="7"/>
  <c r="E32" i="7" s="1"/>
  <c r="E44" i="7" s="1"/>
  <c r="G28" i="3" l="1"/>
  <c r="E48" i="7"/>
  <c r="G29" i="3" l="1"/>
  <c r="G23" i="5"/>
  <c r="G11" i="5"/>
  <c r="G30" i="3"/>
  <c r="G32" i="3" l="1"/>
  <c r="G8" i="5"/>
  <c r="G12" i="5" s="1"/>
  <c r="G18" i="5" s="1"/>
  <c r="G24" i="5" s="1"/>
  <c r="G37" i="5" l="1"/>
  <c r="G27" i="4"/>
  <c r="G33" i="3"/>
  <c r="G35" i="3" l="1"/>
  <c r="G35" i="5" s="1"/>
  <c r="G38" i="5" s="1"/>
  <c r="G40" i="5" s="1"/>
  <c r="G43" i="5" s="1"/>
  <c r="G24" i="4"/>
  <c r="G26" i="4" s="1"/>
  <c r="G28" i="4" s="1"/>
  <c r="G36" i="3" l="1"/>
  <c r="G18" i="4"/>
  <c r="G43" i="4"/>
  <c r="H9" i="3" l="1"/>
  <c r="G19" i="4"/>
  <c r="G21" i="4" s="1"/>
  <c r="H41" i="5"/>
  <c r="H8" i="3" l="1"/>
  <c r="H12" i="3" s="1"/>
  <c r="H22" i="3"/>
  <c r="H22" i="5"/>
  <c r="H19" i="3" l="1"/>
  <c r="H13" i="3"/>
  <c r="H20" i="3" l="1"/>
  <c r="H27" i="3"/>
  <c r="F30" i="7"/>
  <c r="F32" i="7" s="1"/>
  <c r="F44" i="7" s="1"/>
  <c r="H28" i="3" l="1"/>
  <c r="F48" i="7"/>
  <c r="H29" i="3" l="1"/>
  <c r="H23" i="5"/>
  <c r="H11" i="5"/>
  <c r="H30" i="3"/>
  <c r="H32" i="3" l="1"/>
  <c r="H8" i="5"/>
  <c r="H12" i="5" s="1"/>
  <c r="H18" i="5" s="1"/>
  <c r="H24" i="5" s="1"/>
  <c r="H33" i="3" l="1"/>
  <c r="H37" i="5"/>
  <c r="H27" i="4"/>
  <c r="H35" i="3"/>
  <c r="H35" i="5" s="1"/>
  <c r="H38" i="5" s="1"/>
  <c r="H40" i="5" s="1"/>
  <c r="H43" i="5" s="1"/>
  <c r="H36" i="3" l="1"/>
  <c r="H24" i="4"/>
  <c r="H26" i="4" s="1"/>
  <c r="H28" i="4" s="1"/>
  <c r="H43" i="4" l="1"/>
  <c r="H18" i="4"/>
  <c r="H19" i="4" l="1"/>
  <c r="H21" i="4" s="1"/>
  <c r="I9" i="3"/>
  <c r="I41" i="5"/>
  <c r="I22" i="3" l="1"/>
  <c r="I8" i="3"/>
  <c r="I12" i="3" s="1"/>
  <c r="I22" i="5"/>
  <c r="I19" i="3" l="1"/>
  <c r="I13" i="3"/>
  <c r="I27" i="3" l="1"/>
  <c r="I20" i="3"/>
  <c r="G30" i="7"/>
  <c r="G32" i="7" s="1"/>
  <c r="G44" i="7" s="1"/>
  <c r="I28" i="3" l="1"/>
  <c r="G48" i="7"/>
  <c r="I23" i="5" l="1"/>
  <c r="I29" i="3"/>
  <c r="I11" i="5"/>
  <c r="I30" i="3"/>
  <c r="I8" i="5" l="1"/>
  <c r="I12" i="5" s="1"/>
  <c r="I18" i="5" s="1"/>
  <c r="I24" i="5" s="1"/>
  <c r="I32" i="3"/>
  <c r="I37" i="5" l="1"/>
  <c r="I27" i="4"/>
  <c r="I33" i="3"/>
  <c r="I35" i="3" l="1"/>
  <c r="I35" i="5" s="1"/>
  <c r="I38" i="5" s="1"/>
  <c r="I40" i="5" s="1"/>
  <c r="I43" i="5" s="1"/>
  <c r="I24" i="4" l="1"/>
  <c r="I26" i="4" s="1"/>
  <c r="I28" i="4" s="1"/>
  <c r="I36" i="3"/>
  <c r="I43" i="4" l="1"/>
  <c r="I18" i="4"/>
  <c r="J41" i="5" l="1"/>
  <c r="I19" i="4"/>
  <c r="I21" i="4" s="1"/>
  <c r="J9" i="3"/>
  <c r="J22" i="3" l="1"/>
  <c r="J22" i="5"/>
  <c r="J8" i="3"/>
  <c r="J12" i="3" s="1"/>
  <c r="J19" i="3" l="1"/>
  <c r="J13" i="3"/>
  <c r="J27" i="3" l="1"/>
  <c r="J20" i="3"/>
  <c r="H30" i="7"/>
  <c r="J28" i="3" l="1"/>
  <c r="H32" i="7"/>
  <c r="H44" i="7" s="1"/>
  <c r="D57" i="7"/>
  <c r="D65" i="7" s="1"/>
  <c r="J30" i="3" l="1"/>
  <c r="J8" i="5"/>
  <c r="J32" i="3"/>
  <c r="J29" i="3"/>
  <c r="J23" i="5"/>
  <c r="J11" i="5"/>
  <c r="J112" i="7"/>
  <c r="L115" i="7"/>
  <c r="H115" i="7"/>
  <c r="K114" i="7"/>
  <c r="J113" i="7"/>
  <c r="F111" i="7"/>
  <c r="D102" i="7"/>
  <c r="L100" i="7"/>
  <c r="E99" i="7"/>
  <c r="G105" i="7"/>
  <c r="L99" i="7"/>
  <c r="L104" i="7"/>
  <c r="J110" i="7"/>
  <c r="K103" i="7"/>
  <c r="G111" i="7"/>
  <c r="L112" i="7"/>
  <c r="D104" i="7"/>
  <c r="I113" i="7"/>
  <c r="F113" i="7"/>
  <c r="J114" i="7"/>
  <c r="I114" i="7"/>
  <c r="L113" i="7"/>
  <c r="K110" i="7"/>
  <c r="H110" i="7"/>
  <c r="I101" i="7"/>
  <c r="L110" i="7"/>
  <c r="D113" i="7"/>
  <c r="F114" i="7"/>
  <c r="E110" i="7"/>
  <c r="K105" i="7"/>
  <c r="G103" i="7"/>
  <c r="E102" i="7"/>
  <c r="D100" i="7"/>
  <c r="H111" i="7"/>
  <c r="G102" i="7"/>
  <c r="D111" i="7"/>
  <c r="E113" i="7"/>
  <c r="J105" i="7"/>
  <c r="J111" i="7"/>
  <c r="H103" i="7"/>
  <c r="G101" i="7"/>
  <c r="E112" i="7"/>
  <c r="H102" i="7"/>
  <c r="G112" i="7"/>
  <c r="D103" i="7"/>
  <c r="G114" i="7"/>
  <c r="E104" i="7"/>
  <c r="H100" i="7"/>
  <c r="F110" i="7"/>
  <c r="F99" i="7"/>
  <c r="D110" i="7"/>
  <c r="L105" i="7"/>
  <c r="F103" i="7"/>
  <c r="G99" i="7"/>
  <c r="E114" i="7"/>
  <c r="I102" i="7"/>
  <c r="L103" i="7"/>
  <c r="F101" i="7"/>
  <c r="E103" i="7"/>
  <c r="L102" i="7"/>
  <c r="D101" i="7"/>
  <c r="H99" i="7"/>
  <c r="H105" i="7"/>
  <c r="D105" i="7"/>
  <c r="I103" i="7"/>
  <c r="J104" i="7"/>
  <c r="D99" i="7"/>
  <c r="J103" i="7"/>
  <c r="G100" i="7"/>
  <c r="F100" i="7"/>
  <c r="E100" i="7"/>
  <c r="I99" i="7"/>
  <c r="L111" i="7"/>
  <c r="F105" i="7"/>
  <c r="I112" i="7"/>
  <c r="F102" i="7"/>
  <c r="G104" i="7"/>
  <c r="D116" i="7"/>
  <c r="J99" i="7"/>
  <c r="F112" i="7"/>
  <c r="I110" i="7"/>
  <c r="H101" i="7"/>
  <c r="K101" i="7"/>
  <c r="I100" i="7"/>
  <c r="I105" i="7"/>
  <c r="H104" i="7"/>
  <c r="K112" i="7"/>
  <c r="E101" i="7"/>
  <c r="I111" i="7"/>
  <c r="H113" i="7"/>
  <c r="K104" i="7"/>
  <c r="J100" i="7"/>
  <c r="I116" i="7"/>
  <c r="E116" i="7"/>
  <c r="K115" i="7"/>
  <c r="I115" i="7"/>
  <c r="G115" i="7"/>
  <c r="E115" i="7"/>
  <c r="L114" i="7"/>
  <c r="K102" i="7"/>
  <c r="G110" i="7"/>
  <c r="H112" i="7"/>
  <c r="K113" i="7"/>
  <c r="J101" i="7"/>
  <c r="F104" i="7"/>
  <c r="L101" i="7"/>
  <c r="K100" i="7"/>
  <c r="E105" i="7"/>
  <c r="K99" i="7"/>
  <c r="G116" i="7"/>
  <c r="I104" i="7"/>
  <c r="G113" i="7"/>
  <c r="L116" i="7"/>
  <c r="K116" i="7"/>
  <c r="J116" i="7"/>
  <c r="H116" i="7"/>
  <c r="F116" i="7"/>
  <c r="K111" i="7"/>
  <c r="H114" i="7"/>
  <c r="E111" i="7"/>
  <c r="J115" i="7"/>
  <c r="F115" i="7"/>
  <c r="D115" i="7"/>
  <c r="D114" i="7"/>
  <c r="D112" i="7"/>
  <c r="J102" i="7"/>
  <c r="H48" i="7"/>
  <c r="D49" i="7" s="1"/>
  <c r="D56" i="7"/>
  <c r="D60" i="7" s="1"/>
  <c r="D66" i="7"/>
  <c r="J37" i="5" l="1"/>
  <c r="J27" i="4"/>
  <c r="E77" i="7"/>
  <c r="D77" i="7"/>
  <c r="D61" i="7"/>
  <c r="D62" i="7" s="1"/>
  <c r="E78" i="7"/>
  <c r="J33" i="3"/>
  <c r="J12" i="5"/>
  <c r="J18" i="5" s="1"/>
  <c r="J24" i="5" s="1"/>
  <c r="E79" i="7" l="1"/>
  <c r="E87" i="7" s="1"/>
  <c r="E90" i="7" s="1"/>
  <c r="E93" i="7" s="1"/>
  <c r="D78" i="7"/>
  <c r="D79" i="7" s="1"/>
  <c r="D87" i="7" s="1"/>
  <c r="D90" i="7" s="1"/>
  <c r="D93" i="7" s="1"/>
  <c r="J35" i="3"/>
  <c r="J35" i="5" s="1"/>
  <c r="J38" i="5" s="1"/>
  <c r="J40" i="5" s="1"/>
  <c r="J43" i="5" s="1"/>
  <c r="J24" i="4" l="1"/>
  <c r="J26" i="4" s="1"/>
  <c r="J28" i="4" s="1"/>
  <c r="J36" i="3"/>
  <c r="J18" i="4" l="1"/>
  <c r="J43" i="4"/>
  <c r="J19" i="4"/>
  <c r="J2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Lwazi Shelembe</author>
  </authors>
  <commentList>
    <comment ref="C8" authorId="0" shapeId="0" xr:uid="{38411094-8570-4E5D-9F39-491709F33C41}">
      <text>
        <r>
          <rPr>
            <b/>
            <sz val="9"/>
            <color indexed="81"/>
            <rFont val="Tahoma"/>
            <charset val="1"/>
          </rPr>
          <t>Lwazi Shelembe:</t>
        </r>
        <r>
          <rPr>
            <sz val="9"/>
            <color indexed="81"/>
            <rFont val="Tahoma"/>
            <charset val="1"/>
          </rPr>
          <t xml:space="preserve">
Source: Mr Price Group AFS 2025, p.14</t>
        </r>
      </text>
    </comment>
    <comment ref="C21" authorId="0" shapeId="0" xr:uid="{CCA7C570-0B04-474E-81AC-4CE3903AFBC0}">
      <text>
        <r>
          <rPr>
            <b/>
            <sz val="9"/>
            <color indexed="81"/>
            <rFont val="Tahoma"/>
            <charset val="1"/>
          </rPr>
          <t>Lwazi Shelembe:</t>
        </r>
        <r>
          <rPr>
            <sz val="9"/>
            <color indexed="81"/>
            <rFont val="Tahoma"/>
            <charset val="1"/>
          </rPr>
          <t xml:space="preserve">
Source: AFS p.14 - verified: R28,781m/R29,816m/R32,539m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Lwazi Shelembe</author>
  </authors>
  <commentList>
    <comment ref="D8" authorId="0" shapeId="0" xr:uid="{B4F0570C-FBAE-4162-A861-13D781B07B1F}">
      <text>
        <r>
          <rPr>
            <b/>
            <sz val="9"/>
            <color indexed="81"/>
            <rFont val="Tahoma"/>
            <charset val="1"/>
          </rPr>
          <t>Lwazi Shelembe:</t>
        </r>
        <r>
          <rPr>
            <sz val="9"/>
            <color indexed="81"/>
            <rFont val="Tahoma"/>
            <charset val="1"/>
          </rPr>
          <t xml:space="preserve">
Source: Mr Price Group AFS 2025, p.15</t>
        </r>
      </text>
    </comment>
    <comment ref="D24" authorId="0" shapeId="0" xr:uid="{52A26226-5C00-47A3-8802-239A83117C11}">
      <text>
        <r>
          <rPr>
            <b/>
            <sz val="9"/>
            <color indexed="81"/>
            <rFont val="Tahoma"/>
            <charset val="1"/>
          </rPr>
          <t>Lwazi Shelembe:</t>
        </r>
        <r>
          <rPr>
            <sz val="9"/>
            <color indexed="81"/>
            <rFont val="Tahoma"/>
            <charset val="1"/>
          </rPr>
          <t xml:space="preserve">
Source: AFS p.15 - verified: R7,146m (FY2024), R8,442m (FY2025)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Lwazi Shelembe</author>
  </authors>
  <commentList>
    <comment ref="D8" authorId="0" shapeId="0" xr:uid="{403D0F02-A78B-4301-A756-80332BF2BE71}">
      <text>
        <r>
          <rPr>
            <sz val="9"/>
            <color indexed="81"/>
            <rFont val="Tahoma"/>
            <charset val="1"/>
          </rPr>
          <t xml:space="preserve">SA 10-year government bond yield as of May 2026 </t>
        </r>
      </text>
    </comment>
    <comment ref="D9" authorId="0" shapeId="0" xr:uid="{A3787870-3C14-4868-BC54-37DB8D96FA65}">
      <text>
        <r>
          <rPr>
            <sz val="9"/>
            <color indexed="81"/>
            <rFont val="Tahoma"/>
            <charset val="1"/>
          </rPr>
          <t xml:space="preserve">South Africa equity risk premium </t>
        </r>
      </text>
    </comment>
    <comment ref="D19" authorId="0" shapeId="0" xr:uid="{50A3777E-31FF-4400-8838-EB08DE031355}">
      <text>
        <r>
          <rPr>
            <sz val="9"/>
            <color indexed="81"/>
            <rFont val="Tahoma"/>
            <charset val="1"/>
          </rPr>
          <t>Share price R156.97 × 257.73M shares
 (May 2026)</t>
        </r>
      </text>
    </comment>
    <comment ref="D83" authorId="0" shapeId="0" xr:uid="{7DC41AAF-CF93-475C-8C42-4697B5626B91}">
      <text>
        <r>
          <rPr>
            <sz val="9"/>
            <color indexed="81"/>
            <rFont val="Tahoma"/>
            <charset val="1"/>
          </rPr>
          <t>IFRS 16 lease liabilities treated as debt per post-IFRS 16 DCF methodology</t>
        </r>
      </text>
    </comment>
    <comment ref="D85" authorId="0" shapeId="0" xr:uid="{ABC8BF8F-A775-42FD-8A3E-877046F0AE01}">
      <text>
        <r>
          <rPr>
            <sz val="9"/>
            <color indexed="81"/>
            <rFont val="Tahoma"/>
            <charset val="1"/>
          </rPr>
          <t>Includes deferred tax liability, post-retirement benefits, NCI put option liability</t>
        </r>
      </text>
    </comment>
    <comment ref="D89" authorId="0" shapeId="0" xr:uid="{31B50DD0-3693-4805-BB71-C1EF725ECD79}">
      <text>
        <r>
          <rPr>
            <sz val="9"/>
            <color indexed="81"/>
            <rFont val="Tahoma"/>
            <charset val="1"/>
          </rPr>
          <t>Diluted share count from AFS 2025 (265,831,859 shares)</t>
        </r>
      </text>
    </comment>
  </commentList>
</comments>
</file>

<file path=xl/sharedStrings.xml><?xml version="1.0" encoding="utf-8"?>
<sst xmlns="http://schemas.openxmlformats.org/spreadsheetml/2006/main" count="235" uniqueCount="196">
  <si>
    <t>Mr Price Group - Assumptions &amp; Drivers</t>
  </si>
  <si>
    <t>All values in R'm unless otherwise stated</t>
  </si>
  <si>
    <t>FY2024</t>
  </si>
  <si>
    <t>FY2025</t>
  </si>
  <si>
    <t>FY2026E</t>
  </si>
  <si>
    <t>FY2027E</t>
  </si>
  <si>
    <t>FY2028E</t>
  </si>
  <si>
    <t>FY2029E</t>
  </si>
  <si>
    <t>FY2030E</t>
  </si>
  <si>
    <t>Revenue &amp; Growth</t>
  </si>
  <si>
    <t>Revenue</t>
  </si>
  <si>
    <t xml:space="preserve">  Revenue Growth %</t>
  </si>
  <si>
    <t>N/A</t>
  </si>
  <si>
    <t>Margins &amp; Cost Structure</t>
  </si>
  <si>
    <t>Cost of Sales</t>
  </si>
  <si>
    <t xml:space="preserve">  Gross Margin %</t>
  </si>
  <si>
    <t>Selling Expenses</t>
  </si>
  <si>
    <t xml:space="preserve">  Selling Expenses % of Revenue</t>
  </si>
  <si>
    <t>Admin &amp; Other Operating Expenses</t>
  </si>
  <si>
    <t xml:space="preserve">  Admin % of Revenue</t>
  </si>
  <si>
    <t>Effective Tax Rate %</t>
  </si>
  <si>
    <t>Depreciation &amp; Amortisation</t>
  </si>
  <si>
    <t>PPE Depreciation</t>
  </si>
  <si>
    <t>ROU Asset Depreciation</t>
  </si>
  <si>
    <t>Amortisation of Intangibles</t>
  </si>
  <si>
    <t>Total D&amp;A</t>
  </si>
  <si>
    <t>Capital Expenditure</t>
  </si>
  <si>
    <t>PPE - Replacement</t>
  </si>
  <si>
    <t>PPE - Additions</t>
  </si>
  <si>
    <t>Intangible Assets</t>
  </si>
  <si>
    <t>Total Capex</t>
  </si>
  <si>
    <t>Working Capital</t>
  </si>
  <si>
    <t>Inventory Days (on COGS)</t>
  </si>
  <si>
    <t>Receivable Days (on Revenue)</t>
  </si>
  <si>
    <t>Payable Days (on COGS)</t>
  </si>
  <si>
    <t>Financing &amp; Returns</t>
  </si>
  <si>
    <t>Finance Income Yield (on prior yr cash)</t>
  </si>
  <si>
    <t>Non-Lease Finance Cost Rate</t>
  </si>
  <si>
    <t>Dividend Payout Ratio (of earnings to parent)</t>
  </si>
  <si>
    <t>NCI % of Net Profit</t>
  </si>
  <si>
    <t>Lease Interest (% of avg lease liabilities)</t>
  </si>
  <si>
    <t>Lease Assumptions</t>
  </si>
  <si>
    <t>New Lease Additions (ROU)</t>
  </si>
  <si>
    <t>Lease Repayments (Capital)</t>
  </si>
  <si>
    <t>Mr Price Group - Consolidated Income Statement</t>
  </si>
  <si>
    <t>R'm</t>
  </si>
  <si>
    <t>Gross Profit</t>
  </si>
  <si>
    <t>Total Operating Expenses</t>
  </si>
  <si>
    <t>Finance Income</t>
  </si>
  <si>
    <t>Finance Costs</t>
  </si>
  <si>
    <t xml:space="preserve">  of which: Lease Interest</t>
  </si>
  <si>
    <t xml:space="preserve">  of which: Other Finance Costs</t>
  </si>
  <si>
    <t>Profit Before Tax</t>
  </si>
  <si>
    <t>Taxation</t>
  </si>
  <si>
    <t>Net Profit for the Year</t>
  </si>
  <si>
    <t xml:space="preserve">  Non-Controlling Interest</t>
  </si>
  <si>
    <t xml:space="preserve">  Equity Holders of Parent</t>
  </si>
  <si>
    <t>Retained Earnings for the Year</t>
  </si>
  <si>
    <t xml:space="preserve">  Retail Sales &amp; Other Revenue</t>
  </si>
  <si>
    <t xml:space="preserve">  Finance Interest Income</t>
  </si>
  <si>
    <t>Profit Before Finance Costs &amp; Income (EBIT)</t>
  </si>
  <si>
    <t xml:space="preserve">  EBIT Margin %</t>
  </si>
  <si>
    <t xml:space="preserve">  Effective Tax Rate %</t>
  </si>
  <si>
    <t>Dividends</t>
  </si>
  <si>
    <t>Mr Price Group - Consolidated Statement of Financial Position</t>
  </si>
  <si>
    <t>FY2023</t>
  </si>
  <si>
    <t>NON-CURRENT ASSETS</t>
  </si>
  <si>
    <t>Property, Plant &amp; Equipment</t>
  </si>
  <si>
    <t>Right-of-Use Asset</t>
  </si>
  <si>
    <t>Other Non-Current Assets</t>
  </si>
  <si>
    <t>Total Non-Current Assets</t>
  </si>
  <si>
    <t>CURRENT ASSETS</t>
  </si>
  <si>
    <t>Inventories</t>
  </si>
  <si>
    <t>Trade and Other Receivables</t>
  </si>
  <si>
    <t>Other Current Assets</t>
  </si>
  <si>
    <t>Cash and Cash Equivalents</t>
  </si>
  <si>
    <t>Total Current Assets</t>
  </si>
  <si>
    <t>TOTAL ASSETS</t>
  </si>
  <si>
    <t>EQUITY</t>
  </si>
  <si>
    <t>Retained Income</t>
  </si>
  <si>
    <t>Other Equity Reserves</t>
  </si>
  <si>
    <t>Equity Attributable to Parent</t>
  </si>
  <si>
    <t>Non-Controlling Interest</t>
  </si>
  <si>
    <t>Total Equity</t>
  </si>
  <si>
    <t>NON-CURRENT LIABILITIES</t>
  </si>
  <si>
    <t>Lease Liabilities (Non-Current)</t>
  </si>
  <si>
    <t>Other Non-Current Liabilities</t>
  </si>
  <si>
    <t>Total Non-Current Liabilities</t>
  </si>
  <si>
    <t>CURRENT LIABILITIES</t>
  </si>
  <si>
    <t>Trade and Other Payables</t>
  </si>
  <si>
    <t>Lease Liabilities (Current)</t>
  </si>
  <si>
    <t>Other Current Liabilities</t>
  </si>
  <si>
    <t>Total Current Liabilities</t>
  </si>
  <si>
    <t>TOTAL LIABILITIES</t>
  </si>
  <si>
    <t>TOTAL EQUITY AND LIABILITIES</t>
  </si>
  <si>
    <t>Mr Price Group - Consolidated Statement of Cash Flows</t>
  </si>
  <si>
    <t>CASH FLOWS FROM OPERATING ACTIVITIES</t>
  </si>
  <si>
    <t>Impairments</t>
  </si>
  <si>
    <t>Other Non-Cash Items</t>
  </si>
  <si>
    <t>Operating Profit Before Working Capital</t>
  </si>
  <si>
    <t>Working Capital Changes</t>
  </si>
  <si>
    <t xml:space="preserve">  Change in Inventories</t>
  </si>
  <si>
    <t xml:space="preserve">  Change in Trade Receivables</t>
  </si>
  <si>
    <t xml:space="preserve">  Change in Trade Payables</t>
  </si>
  <si>
    <t>Cash Generated from Operations</t>
  </si>
  <si>
    <t>Interest on Trade Receivables</t>
  </si>
  <si>
    <t>Finance Costs Paid (excl. leases)</t>
  </si>
  <si>
    <t>Finance Income Received</t>
  </si>
  <si>
    <t>Taxation Paid</t>
  </si>
  <si>
    <t>Net Cash from Operating Activities</t>
  </si>
  <si>
    <t>CASH FLOWS FROM INVESTING ACTIVITIES</t>
  </si>
  <si>
    <t>Capital Expenditure (PPE)</t>
  </si>
  <si>
    <t>Intangible Asset Additions</t>
  </si>
  <si>
    <t>Other Investing Activities</t>
  </si>
  <si>
    <t>Net Cash from Investing Activities</t>
  </si>
  <si>
    <t>CASH FLOWS FROM FINANCING ACTIVITIES</t>
  </si>
  <si>
    <t>Lease Capital Repayments</t>
  </si>
  <si>
    <t>Lease Interest Payments</t>
  </si>
  <si>
    <t>Dividends Paid</t>
  </si>
  <si>
    <t>Share Transactions (net)</t>
  </si>
  <si>
    <t>Net Cash from Financing Activities</t>
  </si>
  <si>
    <t>Total Cash Movement</t>
  </si>
  <si>
    <t>Cash at Beginning of Year</t>
  </si>
  <si>
    <t>Exchange Rate Effects</t>
  </si>
  <si>
    <t>Cash at End of Year</t>
  </si>
  <si>
    <t>Other Financing (incl. NCI dividends)</t>
  </si>
  <si>
    <t>Mr Price Group - DCF Valuation</t>
  </si>
  <si>
    <t>WACC Calculation</t>
  </si>
  <si>
    <t>Cost of Equity (CAPM)</t>
  </si>
  <si>
    <t>Risk-Free Rate (SA 10Y Bond)</t>
  </si>
  <si>
    <t>Levered Beta</t>
  </si>
  <si>
    <t>Cost of Equity</t>
  </si>
  <si>
    <t>Cost of Debt</t>
  </si>
  <si>
    <t>Pre-Tax Cost of Debt (Lease Implied Rate)</t>
  </si>
  <si>
    <t>Tax Rate</t>
  </si>
  <si>
    <t>After-Tax Cost of Debt</t>
  </si>
  <si>
    <t>Capital Structure</t>
  </si>
  <si>
    <t>Market Capitalisation (R'm)</t>
  </si>
  <si>
    <t>Lease Debt (R'm)</t>
  </si>
  <si>
    <t>Equity Weight</t>
  </si>
  <si>
    <t>Debt Weight</t>
  </si>
  <si>
    <t>WACC</t>
  </si>
  <si>
    <t>Year 1</t>
  </si>
  <si>
    <t>Year 2</t>
  </si>
  <si>
    <t>Year 3</t>
  </si>
  <si>
    <t>Year 4</t>
  </si>
  <si>
    <t>Year 5</t>
  </si>
  <si>
    <t>EBIT</t>
  </si>
  <si>
    <t>NOPAT (EBIT × (1 - Tax Rate))</t>
  </si>
  <si>
    <t>(+) Depreciation &amp; Amortisation</t>
  </si>
  <si>
    <t xml:space="preserve">    PPE Depreciation</t>
  </si>
  <si>
    <t xml:space="preserve">    ROU Asset Depreciation</t>
  </si>
  <si>
    <t xml:space="preserve">    Amortisation</t>
  </si>
  <si>
    <t>(-) Capital Expenditure</t>
  </si>
  <si>
    <t>(-) Change in Working Capital</t>
  </si>
  <si>
    <t>Unlevered Free Cash Flow</t>
  </si>
  <si>
    <t>Discount Period (Mid-Year)</t>
  </si>
  <si>
    <t>Discount Factor</t>
  </si>
  <si>
    <t>PV of Unlevered FCF</t>
  </si>
  <si>
    <t>Sum of PV of UFCFs</t>
  </si>
  <si>
    <t>Terminal Value</t>
  </si>
  <si>
    <t>Terminal Growth Rate (g)</t>
  </si>
  <si>
    <t>Exit EV/EBITDA Multiple</t>
  </si>
  <si>
    <t>Terminal Year UFCF (Year 5)</t>
  </si>
  <si>
    <t>Terminal Year EBITDA (Year 5)</t>
  </si>
  <si>
    <t>Method 1: Gordon Growth (Perpetuity)</t>
  </si>
  <si>
    <t>Terminal Value (Gordon Growth)</t>
  </si>
  <si>
    <t>Mid-Year Adjusted TV</t>
  </si>
  <si>
    <t>PV of Terminal Value (Gordon Growth)</t>
  </si>
  <si>
    <t>Method 2: Exit Multiple</t>
  </si>
  <si>
    <t>Terminal Value (Exit Multiple)</t>
  </si>
  <si>
    <t>PV of Terminal Value (Exit Multiple)</t>
  </si>
  <si>
    <t>Gordon Growth</t>
  </si>
  <si>
    <t>Exit Multiple</t>
  </si>
  <si>
    <t>PV of Unlevered FCFs</t>
  </si>
  <si>
    <t>PV of Terminal Value</t>
  </si>
  <si>
    <t>Implied Enterprise Value</t>
  </si>
  <si>
    <t>(+) Cash &amp; Cash Equivalents</t>
  </si>
  <si>
    <t>(-) Total Lease Liabilities</t>
  </si>
  <si>
    <t>(-) Non-Controlling Interest</t>
  </si>
  <si>
    <t>(-) Other Debt-Like Items</t>
  </si>
  <si>
    <t>Implied Equity Value</t>
  </si>
  <si>
    <t>Diluted Shares Outstanding (millions)</t>
  </si>
  <si>
    <t>Implied Share Price (R)</t>
  </si>
  <si>
    <t>Current Share Price (R)</t>
  </si>
  <si>
    <t>Upside / (Downside)</t>
  </si>
  <si>
    <t>Sensitivity Analysis - Implied Share Price (R)</t>
  </si>
  <si>
    <t>Gordon Growth Method</t>
  </si>
  <si>
    <t>Exit Multiple Method</t>
  </si>
  <si>
    <t xml:space="preserve">    Change in Inventories</t>
  </si>
  <si>
    <t xml:space="preserve">    Change in Trade Receivables</t>
  </si>
  <si>
    <t xml:space="preserve">    Change Trade Payables</t>
  </si>
  <si>
    <t>Estimated Equity Risk Premium (SA)</t>
  </si>
  <si>
    <t xml:space="preserve">WACC  / EV/EBITDA Multiple </t>
  </si>
  <si>
    <t xml:space="preserve">WACC  / Terminal Growth </t>
  </si>
  <si>
    <t xml:space="preserve">Enterprise Value to Equity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</si>
</sst>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"/>
    <numFmt numFmtId="166" formatCode="#,##0;\(#,##0\);\-"/>
    <numFmt numFmtId="167" formatCode="0.000"/>
    <numFmt numFmtId="168" formatCode="0.0\x"/>
    <numFmt numFmtId="169" formatCode="\R\ #,##0.00"/>
    <numFmt numFmtId="170" formatCode="\R\ #,##0"/>
  </numFmts>
  <fonts count="27" x14ac:knownFonts="1">
    <font>
      <sz val="12"/>
      <color theme="1"/>
      <name val="Calibri"/>
      <family val="2"/>
      <scheme val="minor"/>
    </font>
    <font>
      <b/>
      <sz val="14"/>
      <color theme="1"/>
      <name val="Aptos Narrow"/>
    </font>
    <font>
      <i/>
      <sz val="11"/>
      <color rgb="FF666666"/>
      <name val="Aptos Narrow"/>
    </font>
    <font>
      <b/>
      <sz val="11"/>
      <color theme="1"/>
      <name val="Aptos Narrow"/>
    </font>
    <font>
      <b/>
      <sz val="11"/>
      <color rgb="FFFFFFFF"/>
      <name val="Aptos Narrow"/>
    </font>
    <font>
      <b/>
      <sz val="11"/>
      <color rgb="FF1F4E79"/>
      <name val="Aptos Narrow"/>
    </font>
    <font>
      <sz val="11"/>
      <color theme="1"/>
      <name val="Aptos Narrow"/>
    </font>
    <font>
      <sz val="11"/>
      <color rgb="FF0000FF"/>
      <name val="Aptos Narrow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8000"/>
      <name val="Aptos Narrow"/>
    </font>
    <font>
      <sz val="11"/>
      <color rgb="FF000000"/>
      <name val="Aptos Narrow"/>
    </font>
    <font>
      <b/>
      <sz val="11"/>
      <color rgb="FF0000FF"/>
      <name val="Aptos Narrow"/>
    </font>
    <font>
      <b/>
      <sz val="11"/>
      <color rgb="FF008000"/>
      <name val="Aptos Narrow"/>
    </font>
    <font>
      <i/>
      <sz val="11"/>
      <color rgb="FF000000"/>
      <name val="Aptos Narrow"/>
    </font>
    <font>
      <b/>
      <sz val="11"/>
      <color rgb="FF000000"/>
      <name val="Aptos Narrow"/>
    </font>
    <font>
      <b/>
      <sz val="12"/>
      <color rgb="FF1F4E79"/>
      <name val="Aptos Narrow"/>
    </font>
    <font>
      <i/>
      <sz val="10"/>
      <color rgb="FF666666"/>
      <name val="Aptos Narrow"/>
    </font>
    <font>
      <b/>
      <sz val="12"/>
      <color rgb="FFFFFFFF"/>
      <name val="Aptos Narrow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FFFFFF"/>
      <name val="Aptos Narrow"/>
      <family val="2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  <font>
      <sz val="12"/>
      <color theme="0"/>
      <name val="Calibri"/>
      <family val="2"/>
      <scheme val="minor"/>
    </font>
    <font>
      <b/>
      <sz val="12"/>
      <color theme="0"/>
      <name val="Aptos Narrow"/>
      <family val="2"/>
    </font>
    <font>
      <b/>
      <sz val="12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1F4E7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 style="thin">
        <color rgb="FFD9D9D9"/>
      </right>
      <top style="thin">
        <color auto="1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3" fontId="7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6" fillId="0" borderId="0" xfId="0" applyFont="1" applyAlignment="1">
      <alignment indent="1"/>
    </xf>
    <xf numFmtId="0" fontId="3" fillId="0" borderId="0" xfId="0" applyFont="1" applyAlignment="1">
      <alignment indent="1"/>
    </xf>
    <xf numFmtId="3" fontId="13" fillId="0" borderId="2" xfId="0" applyNumberFormat="1" applyFont="1" applyBorder="1"/>
    <xf numFmtId="164" fontId="14" fillId="0" borderId="0" xfId="0" applyNumberFormat="1" applyFont="1"/>
    <xf numFmtId="164" fontId="14" fillId="2" borderId="0" xfId="0" applyNumberFormat="1" applyFont="1" applyFill="1"/>
    <xf numFmtId="3" fontId="13" fillId="0" borderId="0" xfId="0" applyNumberFormat="1" applyFont="1"/>
    <xf numFmtId="3" fontId="3" fillId="0" borderId="5" xfId="0" applyNumberFormat="1" applyFont="1" applyBorder="1"/>
    <xf numFmtId="3" fontId="6" fillId="0" borderId="0" xfId="0" applyNumberFormat="1" applyFont="1" applyAlignment="1">
      <alignment indent="1"/>
    </xf>
    <xf numFmtId="166" fontId="7" fillId="2" borderId="0" xfId="0" applyNumberFormat="1" applyFont="1" applyFill="1"/>
    <xf numFmtId="166" fontId="10" fillId="0" borderId="0" xfId="0" applyNumberFormat="1" applyFont="1"/>
    <xf numFmtId="166" fontId="11" fillId="0" borderId="0" xfId="0" applyNumberFormat="1" applyFont="1"/>
    <xf numFmtId="166" fontId="12" fillId="2" borderId="2" xfId="0" applyNumberFormat="1" applyFont="1" applyFill="1" applyBorder="1"/>
    <xf numFmtId="166" fontId="13" fillId="0" borderId="2" xfId="0" applyNumberFormat="1" applyFont="1" applyBorder="1"/>
    <xf numFmtId="166" fontId="6" fillId="2" borderId="0" xfId="0" applyNumberFormat="1" applyFont="1" applyFill="1"/>
    <xf numFmtId="166" fontId="6" fillId="0" borderId="0" xfId="0" applyNumberFormat="1" applyFont="1"/>
    <xf numFmtId="166" fontId="11" fillId="2" borderId="0" xfId="0" applyNumberFormat="1" applyFont="1" applyFill="1"/>
    <xf numFmtId="166" fontId="15" fillId="2" borderId="2" xfId="0" applyNumberFormat="1" applyFont="1" applyFill="1" applyBorder="1"/>
    <xf numFmtId="166" fontId="15" fillId="0" borderId="2" xfId="0" applyNumberFormat="1" applyFont="1" applyBorder="1"/>
    <xf numFmtId="166" fontId="15" fillId="2" borderId="4" xfId="0" applyNumberFormat="1" applyFont="1" applyFill="1" applyBorder="1"/>
    <xf numFmtId="166" fontId="15" fillId="0" borderId="4" xfId="0" applyNumberFormat="1" applyFont="1" applyBorder="1"/>
    <xf numFmtId="166" fontId="0" fillId="0" borderId="0" xfId="0" applyNumberFormat="1"/>
    <xf numFmtId="166" fontId="15" fillId="2" borderId="5" xfId="0" applyNumberFormat="1" applyFont="1" applyFill="1" applyBorder="1"/>
    <xf numFmtId="166" fontId="15" fillId="0" borderId="5" xfId="0" applyNumberFormat="1" applyFont="1" applyBorder="1"/>
    <xf numFmtId="166" fontId="3" fillId="0" borderId="2" xfId="0" applyNumberFormat="1" applyFont="1" applyBorder="1"/>
    <xf numFmtId="166" fontId="7" fillId="0" borderId="0" xfId="0" applyNumberFormat="1" applyFont="1"/>
    <xf numFmtId="0" fontId="16" fillId="0" borderId="0" xfId="0" applyFont="1"/>
    <xf numFmtId="164" fontId="3" fillId="0" borderId="0" xfId="0" applyNumberFormat="1" applyFont="1"/>
    <xf numFmtId="167" fontId="6" fillId="0" borderId="0" xfId="0" applyNumberFormat="1" applyFont="1"/>
    <xf numFmtId="0" fontId="17" fillId="0" borderId="0" xfId="0" applyFont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2" fontId="7" fillId="0" borderId="0" xfId="0" applyNumberFormat="1" applyFont="1"/>
    <xf numFmtId="168" fontId="7" fillId="0" borderId="0" xfId="0" applyNumberFormat="1" applyFont="1"/>
    <xf numFmtId="169" fontId="7" fillId="0" borderId="0" xfId="0" applyNumberFormat="1" applyFont="1"/>
    <xf numFmtId="0" fontId="6" fillId="0" borderId="0" xfId="0" applyFont="1" applyAlignment="1">
      <alignment indent="2"/>
    </xf>
    <xf numFmtId="170" fontId="6" fillId="0" borderId="7" xfId="0" applyNumberFormat="1" applyFont="1" applyBorder="1" applyAlignment="1">
      <alignment horizontal="center"/>
    </xf>
    <xf numFmtId="170" fontId="3" fillId="0" borderId="7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3" fontId="20" fillId="3" borderId="0" xfId="0" applyNumberFormat="1" applyFont="1" applyFill="1"/>
    <xf numFmtId="166" fontId="20" fillId="3" borderId="0" xfId="0" applyNumberFormat="1" applyFont="1" applyFill="1"/>
    <xf numFmtId="3" fontId="22" fillId="3" borderId="0" xfId="0" applyNumberFormat="1" applyFont="1" applyFill="1"/>
    <xf numFmtId="166" fontId="22" fillId="3" borderId="0" xfId="0" applyNumberFormat="1" applyFont="1" applyFill="1"/>
    <xf numFmtId="166" fontId="6" fillId="4" borderId="0" xfId="0" applyNumberFormat="1" applyFont="1" applyFill="1"/>
    <xf numFmtId="166" fontId="13" fillId="4" borderId="0" xfId="0" applyNumberFormat="1" applyFont="1" applyFill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3" fillId="3" borderId="1" xfId="0" applyFont="1" applyFill="1" applyBorder="1"/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3" fontId="22" fillId="3" borderId="1" xfId="0" applyNumberFormat="1" applyFont="1" applyFill="1" applyBorder="1"/>
    <xf numFmtId="166" fontId="22" fillId="3" borderId="1" xfId="0" applyNumberFormat="1" applyFont="1" applyFill="1" applyBorder="1"/>
    <xf numFmtId="0" fontId="24" fillId="0" borderId="0" xfId="0" applyFont="1"/>
    <xf numFmtId="0" fontId="25" fillId="3" borderId="1" xfId="0" applyFont="1" applyFill="1" applyBorder="1"/>
    <xf numFmtId="0" fontId="22" fillId="5" borderId="1" xfId="0" applyFont="1" applyFill="1" applyBorder="1"/>
    <xf numFmtId="0" fontId="5" fillId="5" borderId="0" xfId="0" applyFont="1" applyFill="1"/>
    <xf numFmtId="0" fontId="23" fillId="5" borderId="0" xfId="0" applyFont="1" applyFill="1"/>
    <xf numFmtId="0" fontId="18" fillId="3" borderId="1" xfId="0" applyFont="1" applyFill="1" applyBorder="1"/>
    <xf numFmtId="0" fontId="4" fillId="3" borderId="0" xfId="0" applyFont="1" applyFill="1" applyAlignment="1">
      <alignment horizontal="center"/>
    </xf>
    <xf numFmtId="0" fontId="25" fillId="5" borderId="3" xfId="0" applyFont="1" applyFill="1" applyBorder="1"/>
    <xf numFmtId="164" fontId="25" fillId="5" borderId="3" xfId="0" applyNumberFormat="1" applyFont="1" applyFill="1" applyBorder="1"/>
    <xf numFmtId="0" fontId="5" fillId="4" borderId="0" xfId="0" applyFont="1" applyFill="1"/>
    <xf numFmtId="0" fontId="6" fillId="4" borderId="0" xfId="0" applyFont="1" applyFill="1"/>
    <xf numFmtId="168" fontId="6" fillId="4" borderId="0" xfId="0" applyNumberFormat="1" applyFont="1" applyFill="1"/>
    <xf numFmtId="0" fontId="25" fillId="6" borderId="1" xfId="0" applyFont="1" applyFill="1" applyBorder="1"/>
    <xf numFmtId="0" fontId="4" fillId="6" borderId="0" xfId="0" applyFont="1" applyFill="1" applyAlignment="1">
      <alignment horizontal="center"/>
    </xf>
    <xf numFmtId="169" fontId="26" fillId="0" borderId="0" xfId="0" applyNumberFormat="1" applyFont="1"/>
    <xf numFmtId="0" fontId="22" fillId="3" borderId="0" xfId="0" applyFont="1" applyFill="1"/>
    <xf numFmtId="164" fontId="22" fillId="3" borderId="0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0" fontId="6" fillId="0" borderId="8" xfId="0" applyFont="1" applyBorder="1"/>
    <xf numFmtId="170" fontId="6" fillId="0" borderId="9" xfId="0" applyNumberFormat="1" applyFont="1" applyBorder="1" applyAlignment="1">
      <alignment horizontal="center"/>
    </xf>
    <xf numFmtId="168" fontId="2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6D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57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788217e-4489-476f-b808-ca31f61f17f6}">
  <we:reference id="WA200009152" version="1.0.0.4" store="en-IE" storeType="OMEX"/>
  <we:alternateReferences/>
  <we:properties>
    <we:property name="Microsoft.Office.CampaignId" value="&quot;none&quot;"/>
  </we:properties>
  <we:bindings/>
  <we:snapshot xmlns:r="http://schemas.openxmlformats.org/officeDocument/2006/relationships"/>
</we:webextension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DB14-8B1E-4EB3-9271-E93C8E9BD26D}">
  <dimension ref="B2:J47"/>
  <sheetViews>
    <sheetView showGridLines="0" topLeftCell="A21" workbookViewId="0">
      <selection activeCell="D22" sqref="D22"/>
    </sheetView>
  </sheetViews>
  <sheetFormatPr defaultRowHeight="15.75" x14ac:dyDescent="0.25"/>
  <cols>
    <col min="1" max="1" width="2.5" customWidth="1"/>
    <col min="2" max="2" width="46.625" customWidth="1"/>
    <col min="3" max="3" width="1.625" customWidth="1"/>
    <col min="4" max="10" width="14.125" customWidth="1"/>
  </cols>
  <sheetData>
    <row r="2" spans="2:10" ht="18.75" x14ac:dyDescent="0.3">
      <c r="B2" s="1" t="s">
        <v>0</v>
      </c>
    </row>
    <row r="3" spans="2:10" x14ac:dyDescent="0.25">
      <c r="B3" s="2" t="s">
        <v>1</v>
      </c>
    </row>
    <row r="5" spans="2:10" x14ac:dyDescent="0.25">
      <c r="B5" s="64"/>
      <c r="C5" s="65"/>
      <c r="D5" s="65" t="s">
        <v>2</v>
      </c>
      <c r="E5" s="65" t="s">
        <v>3</v>
      </c>
      <c r="F5" s="65" t="s">
        <v>4</v>
      </c>
      <c r="G5" s="65" t="s">
        <v>5</v>
      </c>
      <c r="H5" s="65" t="s">
        <v>6</v>
      </c>
      <c r="I5" s="65" t="s">
        <v>7</v>
      </c>
      <c r="J5" s="65" t="s">
        <v>8</v>
      </c>
    </row>
    <row r="7" spans="2:10" x14ac:dyDescent="0.25">
      <c r="B7" s="62" t="s">
        <v>9</v>
      </c>
      <c r="C7" s="63"/>
      <c r="D7" s="63"/>
      <c r="E7" s="63"/>
      <c r="F7" s="63"/>
      <c r="G7" s="63"/>
      <c r="H7" s="63"/>
      <c r="I7" s="63"/>
      <c r="J7" s="63"/>
    </row>
    <row r="8" spans="2:10" x14ac:dyDescent="0.25">
      <c r="B8" s="4" t="s">
        <v>10</v>
      </c>
      <c r="C8" s="4"/>
      <c r="D8" s="29">
        <v>37944</v>
      </c>
      <c r="E8" s="29">
        <v>40933</v>
      </c>
      <c r="F8" s="29">
        <f>E8*(1+F9)</f>
        <v>43798.310000000005</v>
      </c>
      <c r="G8" s="29">
        <f>F8*(1+G9)</f>
        <v>46864.19170000001</v>
      </c>
      <c r="H8" s="29">
        <f>G8*(1+H9)</f>
        <v>49910.364160500008</v>
      </c>
      <c r="I8" s="29">
        <f>H8*(1+I9)</f>
        <v>53154.53783093251</v>
      </c>
      <c r="J8" s="29">
        <f>I8*(1+J9)</f>
        <v>56343.810100788462</v>
      </c>
    </row>
    <row r="9" spans="2:10" x14ac:dyDescent="0.25">
      <c r="B9" s="4" t="s">
        <v>11</v>
      </c>
      <c r="C9" s="4"/>
      <c r="D9" s="4" t="s">
        <v>12</v>
      </c>
      <c r="E9" s="6">
        <f>(E8-D8)/D8</f>
        <v>7.8773982711364113E-2</v>
      </c>
      <c r="F9" s="8">
        <v>7.0000000000000007E-2</v>
      </c>
      <c r="G9" s="8">
        <v>7.0000000000000007E-2</v>
      </c>
      <c r="H9" s="8">
        <v>6.5000000000000002E-2</v>
      </c>
      <c r="I9" s="8">
        <v>6.5000000000000002E-2</v>
      </c>
      <c r="J9" s="8">
        <v>0.06</v>
      </c>
    </row>
    <row r="10" spans="2:10" x14ac:dyDescent="0.25">
      <c r="B10" s="4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62" t="s">
        <v>13</v>
      </c>
      <c r="C11" s="63"/>
      <c r="D11" s="63"/>
      <c r="E11" s="63"/>
      <c r="F11" s="63"/>
      <c r="G11" s="63"/>
      <c r="H11" s="63"/>
      <c r="I11" s="63"/>
      <c r="J11" s="63"/>
    </row>
    <row r="12" spans="2:10" x14ac:dyDescent="0.25">
      <c r="B12" s="4" t="s">
        <v>14</v>
      </c>
      <c r="C12" s="4"/>
      <c r="D12" s="29">
        <v>22144</v>
      </c>
      <c r="E12" s="29">
        <v>23574</v>
      </c>
      <c r="F12" s="29">
        <f>F8*(1-F13)</f>
        <v>25227.826560000005</v>
      </c>
      <c r="G12" s="29">
        <f>G8*(1-G13)</f>
        <v>26946.910227500004</v>
      </c>
      <c r="H12" s="29">
        <f>H8*(1-H13)</f>
        <v>28698.459392287503</v>
      </c>
      <c r="I12" s="29">
        <f>I8*(1-I13)</f>
        <v>30563.859252786191</v>
      </c>
      <c r="J12" s="29">
        <f>J8*(1-J13)</f>
        <v>32397.690807953364</v>
      </c>
    </row>
    <row r="13" spans="2:10" x14ac:dyDescent="0.25">
      <c r="B13" s="4" t="s">
        <v>15</v>
      </c>
      <c r="C13" s="4"/>
      <c r="D13" s="6">
        <f>(D8-D12)/D8</f>
        <v>0.41640312038794014</v>
      </c>
      <c r="E13" s="6">
        <f>(E8-E12)/E8</f>
        <v>0.42408325800698704</v>
      </c>
      <c r="F13" s="8">
        <v>0.42399999999999999</v>
      </c>
      <c r="G13" s="8">
        <v>0.42499999999999999</v>
      </c>
      <c r="H13" s="8">
        <v>0.42499999999999999</v>
      </c>
      <c r="I13" s="8">
        <v>0.42499999999999999</v>
      </c>
      <c r="J13" s="8">
        <v>0.42499999999999999</v>
      </c>
    </row>
    <row r="14" spans="2:10" x14ac:dyDescent="0.25">
      <c r="B14" s="4" t="s">
        <v>16</v>
      </c>
      <c r="C14" s="4"/>
      <c r="D14" s="29">
        <v>7665</v>
      </c>
      <c r="E14" s="29">
        <v>8464</v>
      </c>
      <c r="F14" s="29">
        <f>F8*F15</f>
        <v>9066.2501700000012</v>
      </c>
      <c r="G14" s="29">
        <f>G8*G15</f>
        <v>9607.1592985000007</v>
      </c>
      <c r="H14" s="29">
        <f>H8*H15</f>
        <v>10231.624652902501</v>
      </c>
      <c r="I14" s="29">
        <f>I8*I15</f>
        <v>10790.3711796793</v>
      </c>
      <c r="J14" s="29">
        <f>J8*J15</f>
        <v>11437.793450460058</v>
      </c>
    </row>
    <row r="15" spans="2:10" x14ac:dyDescent="0.25">
      <c r="B15" s="4" t="s">
        <v>17</v>
      </c>
      <c r="C15" s="4"/>
      <c r="D15" s="6">
        <f>D14/D8</f>
        <v>0.20200822264389626</v>
      </c>
      <c r="E15" s="6">
        <f>E14/E8</f>
        <v>0.2067769281508807</v>
      </c>
      <c r="F15" s="8">
        <v>0.20699999999999999</v>
      </c>
      <c r="G15" s="8">
        <v>0.20499999999999999</v>
      </c>
      <c r="H15" s="8">
        <v>0.20499999999999999</v>
      </c>
      <c r="I15" s="8">
        <v>0.20300000000000001</v>
      </c>
      <c r="J15" s="8">
        <v>0.20300000000000001</v>
      </c>
    </row>
    <row r="16" spans="2:10" x14ac:dyDescent="0.25">
      <c r="B16" s="4" t="s">
        <v>18</v>
      </c>
      <c r="C16" s="4"/>
      <c r="D16" s="29">
        <v>2667</v>
      </c>
      <c r="E16" s="29">
        <v>2897</v>
      </c>
      <c r="F16" s="29">
        <f>F8*F17</f>
        <v>3109.68001</v>
      </c>
      <c r="G16" s="29">
        <f>G8*G17</f>
        <v>3280.4934190000008</v>
      </c>
      <c r="H16" s="29">
        <f>H8*H17</f>
        <v>3493.7254912350008</v>
      </c>
      <c r="I16" s="29">
        <f>I8*I17</f>
        <v>3667.6631103343434</v>
      </c>
      <c r="J16" s="29">
        <f>J8*J17</f>
        <v>3887.722896954404</v>
      </c>
    </row>
    <row r="17" spans="2:10" x14ac:dyDescent="0.25">
      <c r="B17" s="4" t="s">
        <v>19</v>
      </c>
      <c r="C17" s="4"/>
      <c r="D17" s="6">
        <f>D16/D8</f>
        <v>7.0287792536369381E-2</v>
      </c>
      <c r="E17" s="6">
        <f>E16/E8</f>
        <v>7.0774191972247325E-2</v>
      </c>
      <c r="F17" s="8">
        <v>7.0999999999999994E-2</v>
      </c>
      <c r="G17" s="8">
        <v>7.0000000000000007E-2</v>
      </c>
      <c r="H17" s="8">
        <v>7.0000000000000007E-2</v>
      </c>
      <c r="I17" s="8">
        <v>6.9000000000000006E-2</v>
      </c>
      <c r="J17" s="8">
        <v>6.9000000000000006E-2</v>
      </c>
    </row>
    <row r="18" spans="2:10" x14ac:dyDescent="0.25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25">
      <c r="B19" s="4" t="s">
        <v>20</v>
      </c>
      <c r="C19" s="4"/>
      <c r="D19" s="6">
        <f>1238/4662</f>
        <v>0.26555126555126557</v>
      </c>
      <c r="E19" s="6">
        <f>1386/5175</f>
        <v>0.26782608695652171</v>
      </c>
      <c r="F19" s="8">
        <v>0.26800000000000002</v>
      </c>
      <c r="G19" s="8">
        <v>0.26800000000000002</v>
      </c>
      <c r="H19" s="8">
        <v>0.26800000000000002</v>
      </c>
      <c r="I19" s="8">
        <v>0.26800000000000002</v>
      </c>
      <c r="J19" s="8">
        <v>0.26800000000000002</v>
      </c>
    </row>
    <row r="20" spans="2:10" x14ac:dyDescent="0.25">
      <c r="B20" s="4"/>
      <c r="C20" s="4"/>
      <c r="D20" s="4"/>
      <c r="E20" s="4"/>
      <c r="F20" s="4"/>
      <c r="G20" s="4"/>
      <c r="H20" s="4"/>
      <c r="I20" s="4"/>
      <c r="J20" s="4"/>
    </row>
    <row r="21" spans="2:10" x14ac:dyDescent="0.25">
      <c r="B21" s="62" t="s">
        <v>21</v>
      </c>
      <c r="C21" s="63"/>
      <c r="D21" s="63"/>
      <c r="E21" s="63"/>
      <c r="F21" s="63"/>
      <c r="G21" s="63"/>
      <c r="H21" s="63"/>
      <c r="I21" s="63"/>
      <c r="J21" s="63"/>
    </row>
    <row r="22" spans="2:10" x14ac:dyDescent="0.25">
      <c r="B22" s="4" t="s">
        <v>22</v>
      </c>
      <c r="C22" s="4"/>
      <c r="D22" s="29">
        <v>538</v>
      </c>
      <c r="E22" s="29">
        <v>578</v>
      </c>
      <c r="F22" s="29">
        <f>E22*(1+F9)</f>
        <v>618.46</v>
      </c>
      <c r="G22" s="29">
        <f>F22*(1+G9)</f>
        <v>661.75220000000013</v>
      </c>
      <c r="H22" s="29">
        <f>G22*(1+H9)</f>
        <v>704.76609300000007</v>
      </c>
      <c r="I22" s="29">
        <f>H22*(1+I9)</f>
        <v>750.57588904500005</v>
      </c>
      <c r="J22" s="29">
        <f>I22*(1+J9)</f>
        <v>795.61044238770012</v>
      </c>
    </row>
    <row r="23" spans="2:10" x14ac:dyDescent="0.25">
      <c r="B23" s="4" t="s">
        <v>23</v>
      </c>
      <c r="C23" s="4"/>
      <c r="D23" s="29">
        <v>2258</v>
      </c>
      <c r="E23" s="29">
        <v>2415</v>
      </c>
      <c r="F23" s="29">
        <f>E23*(1+F9*0.5)</f>
        <v>2499.5249999999996</v>
      </c>
      <c r="G23" s="29">
        <f>F23*(1+G9*0.5)</f>
        <v>2587.0083749999994</v>
      </c>
      <c r="H23" s="29">
        <f>G23*(1+H9*0.5)</f>
        <v>2671.0861471874991</v>
      </c>
      <c r="I23" s="29">
        <f>H23*(1+I9*0.5)</f>
        <v>2757.8964469710927</v>
      </c>
      <c r="J23" s="29">
        <f>I23*(1+J9*0.5)</f>
        <v>2840.6333403802255</v>
      </c>
    </row>
    <row r="24" spans="2:10" x14ac:dyDescent="0.25">
      <c r="B24" s="4" t="s">
        <v>24</v>
      </c>
      <c r="C24" s="4"/>
      <c r="D24" s="29">
        <v>123</v>
      </c>
      <c r="E24" s="29">
        <v>124</v>
      </c>
      <c r="F24" s="29">
        <f>E24</f>
        <v>124</v>
      </c>
      <c r="G24" s="29">
        <f>F24</f>
        <v>124</v>
      </c>
      <c r="H24" s="29">
        <f>G24</f>
        <v>124</v>
      </c>
      <c r="I24" s="29">
        <f>H24</f>
        <v>124</v>
      </c>
      <c r="J24" s="29">
        <f>I24</f>
        <v>124</v>
      </c>
    </row>
    <row r="25" spans="2:10" x14ac:dyDescent="0.25">
      <c r="B25" s="11" t="s">
        <v>25</v>
      </c>
      <c r="C25" s="11"/>
      <c r="D25" s="38">
        <f>SUM(D22:D24)</f>
        <v>2919</v>
      </c>
      <c r="E25" s="38">
        <f>SUM(E22:E24)</f>
        <v>3117</v>
      </c>
      <c r="F25" s="38">
        <f>SUM(F22:F24)</f>
        <v>3241.9849999999997</v>
      </c>
      <c r="G25" s="38">
        <f>SUM(G22:G24)</f>
        <v>3372.7605749999993</v>
      </c>
      <c r="H25" s="38">
        <f>SUM(H22:H24)</f>
        <v>3499.8522401874993</v>
      </c>
      <c r="I25" s="38">
        <f>SUM(I22:I24)</f>
        <v>3632.4723360160929</v>
      </c>
      <c r="J25" s="38">
        <f>SUM(J22:J24)</f>
        <v>3760.2437827679255</v>
      </c>
    </row>
    <row r="26" spans="2:10" x14ac:dyDescent="0.25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62" t="s">
        <v>26</v>
      </c>
      <c r="C27" s="63"/>
      <c r="D27" s="63"/>
      <c r="E27" s="63"/>
      <c r="F27" s="63"/>
      <c r="G27" s="63"/>
      <c r="H27" s="63"/>
      <c r="I27" s="63"/>
      <c r="J27" s="63"/>
    </row>
    <row r="28" spans="2:10" x14ac:dyDescent="0.25">
      <c r="B28" s="4" t="s">
        <v>27</v>
      </c>
      <c r="C28" s="4"/>
      <c r="D28" s="29">
        <v>247</v>
      </c>
      <c r="E28" s="29">
        <v>211</v>
      </c>
      <c r="F28" s="29">
        <f>E28*(1+F9)</f>
        <v>225.77</v>
      </c>
      <c r="G28" s="29">
        <f>F28*(1+G9)</f>
        <v>241.57390000000004</v>
      </c>
      <c r="H28" s="29">
        <f>G28*(1+H9)</f>
        <v>257.27620350000001</v>
      </c>
      <c r="I28" s="29">
        <f>H28*(1+I9)</f>
        <v>273.99915672750001</v>
      </c>
      <c r="J28" s="29">
        <f>I28*(1+J9)</f>
        <v>290.43910613115003</v>
      </c>
    </row>
    <row r="29" spans="2:10" x14ac:dyDescent="0.25">
      <c r="B29" s="4" t="s">
        <v>28</v>
      </c>
      <c r="C29" s="4"/>
      <c r="D29" s="29">
        <v>668</v>
      </c>
      <c r="E29" s="29">
        <v>586</v>
      </c>
      <c r="F29" s="29">
        <f>E29*(1+F9)</f>
        <v>627.02</v>
      </c>
      <c r="G29" s="29">
        <f>F29*(1+G9)</f>
        <v>670.91140000000007</v>
      </c>
      <c r="H29" s="29">
        <f>G29*(1+H9)</f>
        <v>714.52064100000007</v>
      </c>
      <c r="I29" s="29">
        <f>H29*(1+I9)</f>
        <v>760.96448266499999</v>
      </c>
      <c r="J29" s="29">
        <f>I29*(1+J9)</f>
        <v>806.62235162490003</v>
      </c>
    </row>
    <row r="30" spans="2:10" x14ac:dyDescent="0.25">
      <c r="B30" s="4" t="s">
        <v>29</v>
      </c>
      <c r="C30" s="4"/>
      <c r="D30" s="29">
        <v>69</v>
      </c>
      <c r="E30" s="29">
        <v>47</v>
      </c>
      <c r="F30" s="29">
        <f>E30</f>
        <v>47</v>
      </c>
      <c r="G30" s="29">
        <f>F30</f>
        <v>47</v>
      </c>
      <c r="H30" s="29">
        <f>G30</f>
        <v>47</v>
      </c>
      <c r="I30" s="29">
        <f>H30</f>
        <v>47</v>
      </c>
      <c r="J30" s="29">
        <f>I30</f>
        <v>47</v>
      </c>
    </row>
    <row r="31" spans="2:10" x14ac:dyDescent="0.25">
      <c r="B31" s="11" t="s">
        <v>30</v>
      </c>
      <c r="C31" s="11"/>
      <c r="D31" s="38">
        <f>SUM(D28:D30)</f>
        <v>984</v>
      </c>
      <c r="E31" s="38">
        <f>SUM(E28:E30)</f>
        <v>844</v>
      </c>
      <c r="F31" s="38">
        <f>SUM(F28:F30)</f>
        <v>899.79</v>
      </c>
      <c r="G31" s="38">
        <f>SUM(G28:G30)</f>
        <v>959.48530000000005</v>
      </c>
      <c r="H31" s="38">
        <f>SUM(H28:H30)</f>
        <v>1018.7968445000001</v>
      </c>
      <c r="I31" s="38">
        <f>SUM(I28:I30)</f>
        <v>1081.9636393925</v>
      </c>
      <c r="J31" s="38">
        <f>SUM(J28:J30)</f>
        <v>1144.06145775605</v>
      </c>
    </row>
    <row r="32" spans="2:10" x14ac:dyDescent="0.25">
      <c r="B32" s="4"/>
      <c r="C32" s="4"/>
      <c r="D32" s="4"/>
      <c r="E32" s="4"/>
      <c r="F32" s="4"/>
      <c r="G32" s="4"/>
      <c r="H32" s="4"/>
      <c r="I32" s="4"/>
      <c r="J32" s="4"/>
    </row>
    <row r="33" spans="2:10" x14ac:dyDescent="0.25">
      <c r="B33" s="62" t="s">
        <v>31</v>
      </c>
      <c r="C33" s="63"/>
      <c r="D33" s="63"/>
      <c r="E33" s="63"/>
      <c r="F33" s="63"/>
      <c r="G33" s="63"/>
      <c r="H33" s="63"/>
      <c r="I33" s="63"/>
      <c r="J33" s="63"/>
    </row>
    <row r="34" spans="2:10" x14ac:dyDescent="0.25">
      <c r="B34" s="4" t="s">
        <v>32</v>
      </c>
      <c r="C34" s="4"/>
      <c r="D34" s="7">
        <f>7078/D12*365</f>
        <v>116.6668171965318</v>
      </c>
      <c r="E34" s="7">
        <f>7894/E12*365</f>
        <v>122.2240604055315</v>
      </c>
      <c r="F34" s="9">
        <v>122</v>
      </c>
      <c r="G34" s="9">
        <v>122</v>
      </c>
      <c r="H34" s="9">
        <v>122</v>
      </c>
      <c r="I34" s="9">
        <v>122</v>
      </c>
      <c r="J34" s="9">
        <v>122</v>
      </c>
    </row>
    <row r="35" spans="2:10" x14ac:dyDescent="0.25">
      <c r="B35" s="4" t="s">
        <v>33</v>
      </c>
      <c r="C35" s="4"/>
      <c r="D35" s="7">
        <f>2969/D8*365</f>
        <v>28.560114906177525</v>
      </c>
      <c r="E35" s="7">
        <f>3134/E8*365</f>
        <v>27.945911611658072</v>
      </c>
      <c r="F35" s="9">
        <v>28</v>
      </c>
      <c r="G35" s="9">
        <v>28</v>
      </c>
      <c r="H35" s="9">
        <v>28</v>
      </c>
      <c r="I35" s="9">
        <v>28</v>
      </c>
      <c r="J35" s="9">
        <v>28</v>
      </c>
    </row>
    <row r="36" spans="2:10" x14ac:dyDescent="0.25">
      <c r="B36" s="4" t="s">
        <v>34</v>
      </c>
      <c r="C36" s="4"/>
      <c r="D36" s="7">
        <f>5175/D12*365</f>
        <v>85.299629696531795</v>
      </c>
      <c r="E36" s="7">
        <f>6424/E12*365</f>
        <v>99.463816068550102</v>
      </c>
      <c r="F36" s="9">
        <v>99</v>
      </c>
      <c r="G36" s="9">
        <v>99</v>
      </c>
      <c r="H36" s="9">
        <v>99</v>
      </c>
      <c r="I36" s="9">
        <v>99</v>
      </c>
      <c r="J36" s="9">
        <v>99</v>
      </c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62" t="s">
        <v>35</v>
      </c>
      <c r="C38" s="63"/>
      <c r="D38" s="63"/>
      <c r="E38" s="63"/>
      <c r="F38" s="63"/>
      <c r="G38" s="63"/>
      <c r="H38" s="63"/>
      <c r="I38" s="63"/>
      <c r="J38" s="63"/>
    </row>
    <row r="39" spans="2:10" x14ac:dyDescent="0.25">
      <c r="B39" s="4" t="s">
        <v>36</v>
      </c>
      <c r="C39" s="4"/>
      <c r="D39" s="6">
        <f>161/1442</f>
        <v>0.11165048543689321</v>
      </c>
      <c r="E39" s="6">
        <f>218/2798</f>
        <v>7.7912794853466763E-2</v>
      </c>
      <c r="F39" s="8">
        <v>7.4999999999999997E-2</v>
      </c>
      <c r="G39" s="8">
        <v>7.4999999999999997E-2</v>
      </c>
      <c r="H39" s="8">
        <v>7.4999999999999997E-2</v>
      </c>
      <c r="I39" s="8">
        <v>7.4999999999999997E-2</v>
      </c>
      <c r="J39" s="8">
        <v>7.4999999999999997E-2</v>
      </c>
    </row>
    <row r="40" spans="2:10" x14ac:dyDescent="0.25">
      <c r="B40" s="4" t="s">
        <v>37</v>
      </c>
      <c r="C40" s="4"/>
      <c r="D40" s="6">
        <f>95/72*0.01</f>
        <v>1.3194444444444444E-2</v>
      </c>
      <c r="E40" s="6">
        <f>69/38*0.01</f>
        <v>1.8157894736842106E-2</v>
      </c>
      <c r="F40" s="8">
        <v>0.01</v>
      </c>
      <c r="G40" s="8">
        <v>0.01</v>
      </c>
      <c r="H40" s="8">
        <v>0.01</v>
      </c>
      <c r="I40" s="8">
        <v>0.01</v>
      </c>
      <c r="J40" s="8">
        <v>0.01</v>
      </c>
    </row>
    <row r="41" spans="2:10" x14ac:dyDescent="0.25">
      <c r="B41" s="4" t="s">
        <v>38</v>
      </c>
      <c r="C41" s="4"/>
      <c r="D41" s="6">
        <f>1911/3280</f>
        <v>0.58262195121951221</v>
      </c>
      <c r="E41" s="6">
        <f>2178/3647</f>
        <v>0.59720318069646283</v>
      </c>
      <c r="F41" s="8">
        <v>0.6</v>
      </c>
      <c r="G41" s="8">
        <v>0.6</v>
      </c>
      <c r="H41" s="8">
        <v>0.6</v>
      </c>
      <c r="I41" s="8">
        <v>0.6</v>
      </c>
      <c r="J41" s="8">
        <v>0.6</v>
      </c>
    </row>
    <row r="42" spans="2:10" x14ac:dyDescent="0.25">
      <c r="B42" s="4" t="s">
        <v>39</v>
      </c>
      <c r="C42" s="4"/>
      <c r="D42" s="6">
        <f>144/3424</f>
        <v>4.2056074766355138E-2</v>
      </c>
      <c r="E42" s="6">
        <f>142/3789</f>
        <v>3.7476906835576668E-2</v>
      </c>
      <c r="F42" s="8">
        <v>3.6999999999999998E-2</v>
      </c>
      <c r="G42" s="8">
        <v>3.6999999999999998E-2</v>
      </c>
      <c r="H42" s="8">
        <v>3.6999999999999998E-2</v>
      </c>
      <c r="I42" s="8">
        <v>3.6999999999999998E-2</v>
      </c>
      <c r="J42" s="8">
        <v>3.6999999999999998E-2</v>
      </c>
    </row>
    <row r="43" spans="2:10" x14ac:dyDescent="0.25">
      <c r="B43" s="4" t="s">
        <v>40</v>
      </c>
      <c r="C43" s="4"/>
      <c r="D43" s="6">
        <f>711/(9121+9156)/2</f>
        <v>1.9450675712644309E-2</v>
      </c>
      <c r="E43" s="6">
        <f>757/(8638+8686)/2</f>
        <v>2.1848302932348188E-2</v>
      </c>
      <c r="F43" s="8">
        <v>8.6999999999999994E-2</v>
      </c>
      <c r="G43" s="8">
        <v>8.6999999999999994E-2</v>
      </c>
      <c r="H43" s="8">
        <v>8.6999999999999994E-2</v>
      </c>
      <c r="I43" s="8">
        <v>8.6999999999999994E-2</v>
      </c>
      <c r="J43" s="8">
        <v>8.6999999999999994E-2</v>
      </c>
    </row>
    <row r="44" spans="2:10" x14ac:dyDescent="0.25">
      <c r="B44" s="4"/>
      <c r="C44" s="4"/>
      <c r="D44" s="4"/>
      <c r="E44" s="4"/>
      <c r="F44" s="4"/>
      <c r="G44" s="4"/>
      <c r="H44" s="4"/>
      <c r="I44" s="4"/>
      <c r="J44" s="4"/>
    </row>
    <row r="45" spans="2:10" x14ac:dyDescent="0.25">
      <c r="B45" s="62" t="s">
        <v>41</v>
      </c>
      <c r="C45" s="63"/>
      <c r="D45" s="63"/>
      <c r="E45" s="63"/>
      <c r="F45" s="63"/>
      <c r="G45" s="63"/>
      <c r="H45" s="63"/>
      <c r="I45" s="63"/>
      <c r="J45" s="63"/>
    </row>
    <row r="46" spans="2:10" x14ac:dyDescent="0.25">
      <c r="B46" s="4" t="s">
        <v>42</v>
      </c>
      <c r="C46" s="4"/>
      <c r="D46" s="29">
        <v>1758</v>
      </c>
      <c r="E46" s="29">
        <v>2365</v>
      </c>
      <c r="F46" s="39">
        <f>E46*(1+F9*0.3)</f>
        <v>2414.665</v>
      </c>
      <c r="G46" s="39">
        <f>E46*(1+G9*0.3)</f>
        <v>2414.665</v>
      </c>
      <c r="H46" s="39">
        <f>E46*(1+H9*0.3)</f>
        <v>2411.1175000000003</v>
      </c>
      <c r="I46" s="39">
        <f>E46*(1+I9*0.3)</f>
        <v>2411.1175000000003</v>
      </c>
      <c r="J46" s="39">
        <f>E46*(1+J9*0.3)</f>
        <v>2407.5700000000002</v>
      </c>
    </row>
    <row r="47" spans="2:10" x14ac:dyDescent="0.25">
      <c r="B47" s="4" t="s">
        <v>43</v>
      </c>
      <c r="C47" s="4"/>
      <c r="D47" s="29">
        <v>2089</v>
      </c>
      <c r="E47" s="29">
        <v>2278</v>
      </c>
      <c r="F47" s="39">
        <f>E47*(1+F9*0.3)</f>
        <v>2325.8379999999997</v>
      </c>
      <c r="G47" s="39">
        <f>E47*(1+G9*0.3)</f>
        <v>2325.8379999999997</v>
      </c>
      <c r="H47" s="39">
        <f>E47*(1+H9*0.3)</f>
        <v>2322.4210000000003</v>
      </c>
      <c r="I47" s="39">
        <f>E47*(1+I9*0.3)</f>
        <v>2322.4210000000003</v>
      </c>
      <c r="J47" s="39">
        <f>E47*(1+J9*0.3)</f>
        <v>2319.0039999999999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368C-46E9-4589-965D-4D6941C14EBF}">
  <dimension ref="B2:J45"/>
  <sheetViews>
    <sheetView showGridLines="0" topLeftCell="A21" workbookViewId="0">
      <selection activeCell="D30" sqref="D30"/>
    </sheetView>
  </sheetViews>
  <sheetFormatPr defaultRowHeight="15.75" x14ac:dyDescent="0.25"/>
  <cols>
    <col min="1" max="1" width="2.5" customWidth="1"/>
    <col min="2" max="2" width="41.625" customWidth="1"/>
    <col min="3" max="3" width="1.625" customWidth="1"/>
    <col min="4" max="10" width="14.125" customWidth="1"/>
  </cols>
  <sheetData>
    <row r="2" spans="2:10" ht="18.75" x14ac:dyDescent="0.3">
      <c r="B2" s="1" t="s">
        <v>44</v>
      </c>
    </row>
    <row r="3" spans="2:10" x14ac:dyDescent="0.25">
      <c r="B3" s="2" t="s">
        <v>45</v>
      </c>
    </row>
    <row r="5" spans="2:10" x14ac:dyDescent="0.25">
      <c r="B5" s="60"/>
      <c r="C5" s="61"/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  <c r="J5" s="61" t="s">
        <v>8</v>
      </c>
    </row>
    <row r="7" spans="2:10" x14ac:dyDescent="0.25">
      <c r="B7" s="3" t="s">
        <v>10</v>
      </c>
      <c r="C7" s="4"/>
      <c r="D7" s="23">
        <v>37944</v>
      </c>
      <c r="E7" s="23">
        <v>40933</v>
      </c>
      <c r="F7" s="24">
        <f>Assumptions!F8</f>
        <v>43798.310000000005</v>
      </c>
      <c r="G7" s="24">
        <f>Assumptions!G8</f>
        <v>46864.19170000001</v>
      </c>
      <c r="H7" s="24">
        <f>Assumptions!H8</f>
        <v>49910.364160500008</v>
      </c>
      <c r="I7" s="24">
        <f>Assumptions!I8</f>
        <v>53154.53783093251</v>
      </c>
      <c r="J7" s="24">
        <f>Assumptions!J8</f>
        <v>56343.810100788462</v>
      </c>
    </row>
    <row r="8" spans="2:10" x14ac:dyDescent="0.25">
      <c r="B8" s="15" t="s">
        <v>58</v>
      </c>
      <c r="C8" s="4"/>
      <c r="D8" s="23">
        <v>37783</v>
      </c>
      <c r="E8" s="23">
        <v>40715</v>
      </c>
      <c r="F8" s="25">
        <f>F7-F9</f>
        <v>43487.285000000003</v>
      </c>
      <c r="G8" s="25">
        <f>G7-G9</f>
        <v>46454.430968768749</v>
      </c>
      <c r="H8" s="25">
        <f>H7-H9</f>
        <v>49382.478771867733</v>
      </c>
      <c r="I8" s="25">
        <f>I7-I9</f>
        <v>52493.272280339886</v>
      </c>
      <c r="J8" s="25">
        <f>J7-J9</f>
        <v>55531.484291908913</v>
      </c>
    </row>
    <row r="9" spans="2:10" x14ac:dyDescent="0.25">
      <c r="B9" s="11" t="s">
        <v>59</v>
      </c>
      <c r="C9" s="11"/>
      <c r="D9" s="26">
        <v>161</v>
      </c>
      <c r="E9" s="26">
        <v>218</v>
      </c>
      <c r="F9" s="27">
        <f>'Balance Sheet'!E18*Assumptions!F39</f>
        <v>311.02499999999998</v>
      </c>
      <c r="G9" s="27">
        <f>'Balance Sheet'!F18*Assumptions!G39</f>
        <v>409.76073123126463</v>
      </c>
      <c r="H9" s="27">
        <f>'Balance Sheet'!G18*Assumptions!H39</f>
        <v>527.88538863227632</v>
      </c>
      <c r="I9" s="27">
        <f>'Balance Sheet'!H18*Assumptions!I39</f>
        <v>661.26555059262535</v>
      </c>
      <c r="J9" s="27">
        <f>'Balance Sheet'!I18*Assumptions!J39</f>
        <v>812.32580887954794</v>
      </c>
    </row>
    <row r="10" spans="2:10" x14ac:dyDescent="0.25">
      <c r="B10" s="4"/>
      <c r="C10" s="4"/>
      <c r="D10" s="28"/>
      <c r="E10" s="28"/>
      <c r="F10" s="29"/>
      <c r="G10" s="29"/>
      <c r="H10" s="29"/>
      <c r="I10" s="29"/>
      <c r="J10" s="29"/>
    </row>
    <row r="11" spans="2:10" x14ac:dyDescent="0.25">
      <c r="B11" s="4" t="s">
        <v>14</v>
      </c>
      <c r="C11" s="4"/>
      <c r="D11" s="23">
        <v>-22144</v>
      </c>
      <c r="E11" s="23">
        <v>-23574</v>
      </c>
      <c r="F11" s="24">
        <f>-Assumptions!F12</f>
        <v>-25227.826560000005</v>
      </c>
      <c r="G11" s="24">
        <f>-Assumptions!G12</f>
        <v>-26946.910227500004</v>
      </c>
      <c r="H11" s="24">
        <f>-Assumptions!H12</f>
        <v>-28698.459392287503</v>
      </c>
      <c r="I11" s="24">
        <f>-Assumptions!I12</f>
        <v>-30563.859252786191</v>
      </c>
      <c r="J11" s="24">
        <f>-Assumptions!J12</f>
        <v>-32397.690807953364</v>
      </c>
    </row>
    <row r="12" spans="2:10" x14ac:dyDescent="0.25">
      <c r="B12" s="4" t="s">
        <v>46</v>
      </c>
      <c r="C12" s="4"/>
      <c r="D12" s="30">
        <f>D8+D11</f>
        <v>15639</v>
      </c>
      <c r="E12" s="30">
        <f>E8+E11</f>
        <v>17141</v>
      </c>
      <c r="F12" s="25">
        <f>F8+F11</f>
        <v>18259.458439999999</v>
      </c>
      <c r="G12" s="25">
        <f>G8+G11</f>
        <v>19507.520741268745</v>
      </c>
      <c r="H12" s="25">
        <f>H8+H11</f>
        <v>20684.01937958023</v>
      </c>
      <c r="I12" s="25">
        <f>I8+I11</f>
        <v>21929.413027553695</v>
      </c>
      <c r="J12" s="25">
        <f>J8+J11</f>
        <v>23133.793483955549</v>
      </c>
    </row>
    <row r="13" spans="2:10" x14ac:dyDescent="0.25">
      <c r="B13" s="3" t="s">
        <v>15</v>
      </c>
      <c r="C13" s="4"/>
      <c r="D13" s="19">
        <f>D12/D8</f>
        <v>0.41391631156869491</v>
      </c>
      <c r="E13" s="19">
        <f>E12/E8</f>
        <v>0.42099963158541076</v>
      </c>
      <c r="F13" s="18">
        <f>F12/F8</f>
        <v>0.41988039584444042</v>
      </c>
      <c r="G13" s="18">
        <f>G12/G8</f>
        <v>0.41992809586632596</v>
      </c>
      <c r="H13" s="18">
        <f>H12/H8</f>
        <v>0.41885340497252488</v>
      </c>
      <c r="I13" s="18">
        <f>I12/I8</f>
        <v>0.41775663956401587</v>
      </c>
      <c r="J13" s="18">
        <f>J12/J8</f>
        <v>0.41658878344309275</v>
      </c>
    </row>
    <row r="14" spans="2:10" x14ac:dyDescent="0.25">
      <c r="B14" s="4"/>
      <c r="C14" s="4"/>
      <c r="D14" s="28"/>
      <c r="E14" s="28"/>
      <c r="F14" s="29"/>
      <c r="G14" s="29"/>
      <c r="H14" s="29"/>
      <c r="I14" s="29"/>
      <c r="J14" s="29"/>
    </row>
    <row r="15" spans="2:10" x14ac:dyDescent="0.25">
      <c r="B15" s="3" t="s">
        <v>16</v>
      </c>
      <c r="C15" s="4"/>
      <c r="D15" s="23">
        <v>-7665</v>
      </c>
      <c r="E15" s="23">
        <v>-8464</v>
      </c>
      <c r="F15" s="24">
        <f>-Assumptions!F14</f>
        <v>-9066.2501700000012</v>
      </c>
      <c r="G15" s="24">
        <f>-Assumptions!G14</f>
        <v>-9607.1592985000007</v>
      </c>
      <c r="H15" s="24">
        <f>-Assumptions!H14</f>
        <v>-10231.624652902501</v>
      </c>
      <c r="I15" s="24">
        <f>-Assumptions!I14</f>
        <v>-10790.3711796793</v>
      </c>
      <c r="J15" s="24">
        <f>-Assumptions!J14</f>
        <v>-11437.793450460058</v>
      </c>
    </row>
    <row r="16" spans="2:10" x14ac:dyDescent="0.25">
      <c r="B16" s="3" t="s">
        <v>18</v>
      </c>
      <c r="C16" s="4"/>
      <c r="D16" s="23">
        <v>-2667</v>
      </c>
      <c r="E16" s="23">
        <v>-2897</v>
      </c>
      <c r="F16" s="24">
        <f>-Assumptions!F16</f>
        <v>-3109.68001</v>
      </c>
      <c r="G16" s="24">
        <f>-Assumptions!G16</f>
        <v>-3280.4934190000008</v>
      </c>
      <c r="H16" s="24">
        <f>-Assumptions!H16</f>
        <v>-3493.7254912350008</v>
      </c>
      <c r="I16" s="24">
        <f>-Assumptions!I16</f>
        <v>-3667.6631103343434</v>
      </c>
      <c r="J16" s="24">
        <f>-Assumptions!J16</f>
        <v>-3887.722896954404</v>
      </c>
    </row>
    <row r="17" spans="2:10" x14ac:dyDescent="0.25">
      <c r="B17" s="11" t="s">
        <v>47</v>
      </c>
      <c r="C17" s="11"/>
      <c r="D17" s="31">
        <f>D15+D16</f>
        <v>-10332</v>
      </c>
      <c r="E17" s="31">
        <f>E15+E16</f>
        <v>-11361</v>
      </c>
      <c r="F17" s="32">
        <f>F15+F16</f>
        <v>-12175.930180000001</v>
      </c>
      <c r="G17" s="32">
        <f>G15+G16</f>
        <v>-12887.652717500001</v>
      </c>
      <c r="H17" s="32">
        <f>H15+H16</f>
        <v>-13725.350144137501</v>
      </c>
      <c r="I17" s="32">
        <f>I15+I16</f>
        <v>-14458.034290013642</v>
      </c>
      <c r="J17" s="32">
        <f>J15+J16</f>
        <v>-15325.516347414461</v>
      </c>
    </row>
    <row r="18" spans="2:10" x14ac:dyDescent="0.25">
      <c r="B18" s="4"/>
      <c r="C18" s="4"/>
      <c r="D18" s="28"/>
      <c r="E18" s="28"/>
      <c r="F18" s="29"/>
      <c r="G18" s="29"/>
      <c r="H18" s="29"/>
      <c r="I18" s="29"/>
      <c r="J18" s="29"/>
    </row>
    <row r="19" spans="2:10" x14ac:dyDescent="0.25">
      <c r="B19" s="11" t="s">
        <v>60</v>
      </c>
      <c r="C19" s="11"/>
      <c r="D19" s="31">
        <f>D12+D17</f>
        <v>5307</v>
      </c>
      <c r="E19" s="31">
        <f>E12+E17</f>
        <v>5780</v>
      </c>
      <c r="F19" s="32">
        <f>F12+F17</f>
        <v>6083.5282599999973</v>
      </c>
      <c r="G19" s="32">
        <f>G12+G17</f>
        <v>6619.868023768744</v>
      </c>
      <c r="H19" s="32">
        <f>H12+H17</f>
        <v>6958.6692354427287</v>
      </c>
      <c r="I19" s="32">
        <f>I12+I17</f>
        <v>7471.3787375400534</v>
      </c>
      <c r="J19" s="32">
        <f>J12+J17</f>
        <v>7808.2771365410881</v>
      </c>
    </row>
    <row r="20" spans="2:10" x14ac:dyDescent="0.25">
      <c r="B20" s="4" t="s">
        <v>61</v>
      </c>
      <c r="C20" s="4"/>
      <c r="D20" s="19">
        <f>D19/D8</f>
        <v>0.14045999523595268</v>
      </c>
      <c r="E20" s="19">
        <f>E19/E8</f>
        <v>0.14196242171189979</v>
      </c>
      <c r="F20" s="18">
        <f>F19/F8</f>
        <v>0.13989211467213916</v>
      </c>
      <c r="G20" s="18">
        <f>G19/G8</f>
        <v>0.14250240258500363</v>
      </c>
      <c r="H20" s="18">
        <f>H19/H8</f>
        <v>0.14091372908981945</v>
      </c>
      <c r="I20" s="18">
        <f>I19/I8</f>
        <v>0.14233021514908076</v>
      </c>
      <c r="J20" s="18">
        <f>J19/J8</f>
        <v>0.14060991230660794</v>
      </c>
    </row>
    <row r="21" spans="2:10" x14ac:dyDescent="0.25">
      <c r="B21" s="4"/>
      <c r="C21" s="4"/>
      <c r="D21" s="28"/>
      <c r="E21" s="28"/>
      <c r="F21" s="29"/>
      <c r="G21" s="29"/>
      <c r="H21" s="29"/>
      <c r="I21" s="29"/>
      <c r="J21" s="29"/>
    </row>
    <row r="22" spans="2:10" x14ac:dyDescent="0.25">
      <c r="B22" s="3" t="s">
        <v>48</v>
      </c>
      <c r="C22" s="4"/>
      <c r="D22" s="30">
        <f>D9</f>
        <v>161</v>
      </c>
      <c r="E22" s="30">
        <f>E9</f>
        <v>218</v>
      </c>
      <c r="F22" s="25">
        <f>F9</f>
        <v>311.02499999999998</v>
      </c>
      <c r="G22" s="25">
        <f>G9</f>
        <v>409.76073123126463</v>
      </c>
      <c r="H22" s="25">
        <f>H9</f>
        <v>527.88538863227632</v>
      </c>
      <c r="I22" s="25">
        <f>I9</f>
        <v>661.26555059262535</v>
      </c>
      <c r="J22" s="25">
        <f>J9</f>
        <v>812.32580887954794</v>
      </c>
    </row>
    <row r="23" spans="2:10" x14ac:dyDescent="0.25">
      <c r="B23" s="4" t="s">
        <v>49</v>
      </c>
      <c r="C23" s="4"/>
      <c r="D23" s="23">
        <v>-806</v>
      </c>
      <c r="E23" s="23">
        <v>-823</v>
      </c>
      <c r="F23" s="25">
        <f>F24+F25</f>
        <v>-825.54597449999994</v>
      </c>
      <c r="G23" s="25">
        <f>G24+G25</f>
        <v>-833.27392350000014</v>
      </c>
      <c r="H23" s="25">
        <f>H24+H25</f>
        <v>-840.9961957500002</v>
      </c>
      <c r="I23" s="25">
        <f>I24+I25</f>
        <v>-848.71279125000012</v>
      </c>
      <c r="J23" s="25">
        <f>J24+J25</f>
        <v>-856.42371000000014</v>
      </c>
    </row>
    <row r="24" spans="2:10" x14ac:dyDescent="0.25">
      <c r="B24" s="15" t="s">
        <v>50</v>
      </c>
      <c r="C24" s="4"/>
      <c r="D24" s="23">
        <v>-711</v>
      </c>
      <c r="E24" s="23">
        <v>-757</v>
      </c>
      <c r="F24" s="24">
        <f>-('Balance Sheet'!E31+'Balance Sheet'!F31+'Balance Sheet'!E37+'Balance Sheet'!F37)/2*Assumptions!F43</f>
        <v>-759.54597449999994</v>
      </c>
      <c r="G24" s="24">
        <f>-('Balance Sheet'!F31+'Balance Sheet'!G31+'Balance Sheet'!F37+'Balance Sheet'!G37)/2*Assumptions!G43</f>
        <v>-767.27392350000014</v>
      </c>
      <c r="H24" s="24">
        <f>-('Balance Sheet'!G31+'Balance Sheet'!H31+'Balance Sheet'!G37+'Balance Sheet'!H37)/2*Assumptions!H43</f>
        <v>-774.9961957500002</v>
      </c>
      <c r="I24" s="24">
        <f>-('Balance Sheet'!H31+'Balance Sheet'!I31+'Balance Sheet'!H37+'Balance Sheet'!I37)/2*Assumptions!I43</f>
        <v>-782.71279125000012</v>
      </c>
      <c r="J24" s="24">
        <f>-('Balance Sheet'!I31+'Balance Sheet'!J31+'Balance Sheet'!I37+'Balance Sheet'!J37)/2*Assumptions!J43</f>
        <v>-790.42371000000014</v>
      </c>
    </row>
    <row r="25" spans="2:10" x14ac:dyDescent="0.25">
      <c r="B25" s="15" t="s">
        <v>51</v>
      </c>
      <c r="C25" s="4"/>
      <c r="D25" s="23">
        <v>-95</v>
      </c>
      <c r="E25" s="23">
        <v>-66</v>
      </c>
      <c r="F25" s="25">
        <f>E25</f>
        <v>-66</v>
      </c>
      <c r="G25" s="25">
        <f>F25</f>
        <v>-66</v>
      </c>
      <c r="H25" s="25">
        <f>G25</f>
        <v>-66</v>
      </c>
      <c r="I25" s="25">
        <f>H25</f>
        <v>-66</v>
      </c>
      <c r="J25" s="25">
        <f>I25</f>
        <v>-66</v>
      </c>
    </row>
    <row r="26" spans="2:10" x14ac:dyDescent="0.25">
      <c r="B26" s="4"/>
      <c r="C26" s="4"/>
      <c r="D26" s="28"/>
      <c r="E26" s="28"/>
      <c r="F26" s="29"/>
      <c r="G26" s="29"/>
      <c r="H26" s="29"/>
      <c r="I26" s="29"/>
      <c r="J26" s="29"/>
    </row>
    <row r="27" spans="2:10" x14ac:dyDescent="0.25">
      <c r="B27" s="11" t="s">
        <v>52</v>
      </c>
      <c r="C27" s="11"/>
      <c r="D27" s="31">
        <f>D19+D22+D23</f>
        <v>4662</v>
      </c>
      <c r="E27" s="31">
        <f>E19+E22+E23</f>
        <v>5175</v>
      </c>
      <c r="F27" s="32">
        <f>F19+F22+F23</f>
        <v>5569.0072854999971</v>
      </c>
      <c r="G27" s="32">
        <f>G19+G22+G23</f>
        <v>6196.3548315000089</v>
      </c>
      <c r="H27" s="32">
        <f>H19+H22+H23</f>
        <v>6645.5584283250046</v>
      </c>
      <c r="I27" s="32">
        <f>I19+I22+I23</f>
        <v>7283.9314968826784</v>
      </c>
      <c r="J27" s="32">
        <f>J19+J22+J23</f>
        <v>7764.1792354206364</v>
      </c>
    </row>
    <row r="28" spans="2:10" x14ac:dyDescent="0.25">
      <c r="B28" s="3" t="s">
        <v>53</v>
      </c>
      <c r="C28" s="4"/>
      <c r="D28" s="23">
        <v>-1238</v>
      </c>
      <c r="E28" s="23">
        <v>-1386</v>
      </c>
      <c r="F28" s="24">
        <f>-F27*Assumptions!F19</f>
        <v>-1492.4939525139994</v>
      </c>
      <c r="G28" s="24">
        <f>-G27*Assumptions!G19</f>
        <v>-1660.6230948420025</v>
      </c>
      <c r="H28" s="24">
        <f>-H27*Assumptions!H19</f>
        <v>-1781.0096587911014</v>
      </c>
      <c r="I28" s="24">
        <f>-I27*Assumptions!I19</f>
        <v>-1952.093641164558</v>
      </c>
      <c r="J28" s="24">
        <f>-J27*Assumptions!J19</f>
        <v>-2080.8000350927305</v>
      </c>
    </row>
    <row r="29" spans="2:10" x14ac:dyDescent="0.25">
      <c r="B29" s="4" t="s">
        <v>62</v>
      </c>
      <c r="C29" s="4"/>
      <c r="D29" s="19">
        <f>-D28/D27</f>
        <v>0.26555126555126557</v>
      </c>
      <c r="E29" s="19">
        <f>-E28/E27</f>
        <v>0.26782608695652171</v>
      </c>
      <c r="F29" s="18">
        <f>-F28/F27</f>
        <v>0.26800000000000002</v>
      </c>
      <c r="G29" s="18">
        <f>-G28/G27</f>
        <v>0.26800000000000002</v>
      </c>
      <c r="H29" s="18">
        <f>-H28/H27</f>
        <v>0.26800000000000002</v>
      </c>
      <c r="I29" s="18">
        <f>-I28/I27</f>
        <v>0.26800000000000002</v>
      </c>
      <c r="J29" s="18">
        <f>-J28/J27</f>
        <v>0.26800000000000002</v>
      </c>
    </row>
    <row r="30" spans="2:10" ht="16.5" thickBot="1" x14ac:dyDescent="0.3">
      <c r="B30" s="13" t="s">
        <v>54</v>
      </c>
      <c r="C30" s="13"/>
      <c r="D30" s="33">
        <f>D27+D28</f>
        <v>3424</v>
      </c>
      <c r="E30" s="33">
        <f>E27+E28</f>
        <v>3789</v>
      </c>
      <c r="F30" s="34">
        <f>F27+F28</f>
        <v>4076.5133329859977</v>
      </c>
      <c r="G30" s="34">
        <f>G27+G28</f>
        <v>4535.7317366580064</v>
      </c>
      <c r="H30" s="34">
        <f>H27+H28</f>
        <v>4864.5487695339034</v>
      </c>
      <c r="I30" s="34">
        <f>I27+I28</f>
        <v>5331.8378557181204</v>
      </c>
      <c r="J30" s="34">
        <f>J27+J28</f>
        <v>5683.3792003279059</v>
      </c>
    </row>
    <row r="31" spans="2:10" ht="16.5" thickTop="1" x14ac:dyDescent="0.25">
      <c r="B31" s="4"/>
      <c r="C31" s="4"/>
      <c r="D31" s="28"/>
      <c r="E31" s="28"/>
      <c r="F31" s="29"/>
      <c r="G31" s="29"/>
      <c r="H31" s="29"/>
      <c r="I31" s="29"/>
      <c r="J31" s="29"/>
    </row>
    <row r="32" spans="2:10" x14ac:dyDescent="0.25">
      <c r="B32" s="15" t="s">
        <v>55</v>
      </c>
      <c r="C32" s="4"/>
      <c r="D32" s="23">
        <v>144</v>
      </c>
      <c r="E32" s="23">
        <v>142</v>
      </c>
      <c r="F32" s="24">
        <f>F30*Assumptions!F42</f>
        <v>150.83099332048192</v>
      </c>
      <c r="G32" s="24">
        <f>G30*Assumptions!G42</f>
        <v>167.82207425634624</v>
      </c>
      <c r="H32" s="24">
        <f>H30*Assumptions!H42</f>
        <v>179.98830447275441</v>
      </c>
      <c r="I32" s="24">
        <f>I30*Assumptions!I42</f>
        <v>197.27800066157045</v>
      </c>
      <c r="J32" s="24">
        <f>J30*Assumptions!J42</f>
        <v>210.2850304121325</v>
      </c>
    </row>
    <row r="33" spans="2:10" x14ac:dyDescent="0.25">
      <c r="B33" s="16" t="s">
        <v>56</v>
      </c>
      <c r="C33" s="4"/>
      <c r="D33" s="30">
        <f>D30-D32</f>
        <v>3280</v>
      </c>
      <c r="E33" s="30">
        <f>E30-E32</f>
        <v>3647</v>
      </c>
      <c r="F33" s="25">
        <f>F30-F32</f>
        <v>3925.6823396655159</v>
      </c>
      <c r="G33" s="25">
        <f>G30-G32</f>
        <v>4367.9096624016602</v>
      </c>
      <c r="H33" s="25">
        <f>H30-H32</f>
        <v>4684.5604650611494</v>
      </c>
      <c r="I33" s="25">
        <f>I30-I32</f>
        <v>5134.5598550565501</v>
      </c>
      <c r="J33" s="25">
        <f>J30-J32</f>
        <v>5473.0941699157738</v>
      </c>
    </row>
    <row r="34" spans="2:10" x14ac:dyDescent="0.25">
      <c r="B34" s="4"/>
      <c r="C34" s="4"/>
      <c r="D34" s="28"/>
      <c r="E34" s="28"/>
      <c r="F34" s="29"/>
      <c r="G34" s="29"/>
      <c r="H34" s="29"/>
      <c r="I34" s="29"/>
      <c r="J34" s="29"/>
    </row>
    <row r="35" spans="2:10" x14ac:dyDescent="0.25">
      <c r="B35" s="4" t="s">
        <v>63</v>
      </c>
      <c r="C35" s="4"/>
      <c r="D35" s="23">
        <v>-1911</v>
      </c>
      <c r="E35" s="23">
        <v>-2178</v>
      </c>
      <c r="F35" s="24">
        <f>-F33*Assumptions!F41</f>
        <v>-2355.4094037993095</v>
      </c>
      <c r="G35" s="24">
        <f>-G33*Assumptions!G41</f>
        <v>-2620.7457974409958</v>
      </c>
      <c r="H35" s="24">
        <f>-H33*Assumptions!H41</f>
        <v>-2810.7362790366897</v>
      </c>
      <c r="I35" s="24">
        <f>-I33*Assumptions!I41</f>
        <v>-3080.73591303393</v>
      </c>
      <c r="J35" s="24">
        <f>-J33*Assumptions!J41</f>
        <v>-3283.856501949464</v>
      </c>
    </row>
    <row r="36" spans="2:10" x14ac:dyDescent="0.25">
      <c r="B36" s="11" t="s">
        <v>57</v>
      </c>
      <c r="C36" s="11"/>
      <c r="D36" s="31">
        <f>D33+D35</f>
        <v>1369</v>
      </c>
      <c r="E36" s="31">
        <f>E33+E35</f>
        <v>1469</v>
      </c>
      <c r="F36" s="32">
        <f>F33+F35</f>
        <v>1570.2729358662064</v>
      </c>
      <c r="G36" s="32">
        <f>G33+G35</f>
        <v>1747.1638649606643</v>
      </c>
      <c r="H36" s="32">
        <f>H33+H35</f>
        <v>1873.8241860244598</v>
      </c>
      <c r="I36" s="32">
        <f>I33+I35</f>
        <v>2053.82394202262</v>
      </c>
      <c r="J36" s="32">
        <f>J33+J35</f>
        <v>2189.2376679663098</v>
      </c>
    </row>
    <row r="37" spans="2:10" x14ac:dyDescent="0.25">
      <c r="D37" s="35"/>
      <c r="E37" s="35"/>
      <c r="F37" s="35"/>
      <c r="G37" s="35"/>
      <c r="H37" s="35"/>
      <c r="I37" s="35"/>
      <c r="J37" s="35"/>
    </row>
    <row r="38" spans="2:10" x14ac:dyDescent="0.25">
      <c r="D38" s="35"/>
      <c r="E38" s="35"/>
      <c r="F38" s="35"/>
      <c r="G38" s="35"/>
      <c r="H38" s="35"/>
      <c r="I38" s="35"/>
      <c r="J38" s="35"/>
    </row>
    <row r="39" spans="2:10" x14ac:dyDescent="0.25">
      <c r="D39" s="35"/>
      <c r="E39" s="35"/>
      <c r="F39" s="35"/>
      <c r="G39" s="35"/>
      <c r="H39" s="35"/>
      <c r="I39" s="35"/>
      <c r="J39" s="35"/>
    </row>
    <row r="40" spans="2:10" x14ac:dyDescent="0.25">
      <c r="D40" s="35"/>
      <c r="E40" s="35"/>
      <c r="F40" s="35"/>
      <c r="G40" s="35"/>
      <c r="H40" s="35"/>
      <c r="I40" s="35"/>
      <c r="J40" s="35"/>
    </row>
    <row r="41" spans="2:10" x14ac:dyDescent="0.25">
      <c r="D41" s="35"/>
      <c r="E41" s="35"/>
      <c r="F41" s="35"/>
      <c r="G41" s="35"/>
      <c r="H41" s="35"/>
      <c r="I41" s="35"/>
      <c r="J41" s="35"/>
    </row>
    <row r="42" spans="2:10" x14ac:dyDescent="0.25">
      <c r="D42" s="35"/>
      <c r="E42" s="35"/>
      <c r="F42" s="35"/>
      <c r="G42" s="35"/>
      <c r="H42" s="35"/>
      <c r="I42" s="35"/>
      <c r="J42" s="35"/>
    </row>
    <row r="43" spans="2:10" x14ac:dyDescent="0.25">
      <c r="D43" s="35"/>
      <c r="E43" s="35"/>
      <c r="F43" s="35"/>
      <c r="G43" s="35"/>
      <c r="H43" s="35"/>
      <c r="I43" s="35"/>
      <c r="J43" s="35"/>
    </row>
    <row r="44" spans="2:10" x14ac:dyDescent="0.25">
      <c r="D44" s="35"/>
      <c r="E44" s="35"/>
      <c r="F44" s="35"/>
      <c r="G44" s="35"/>
      <c r="H44" s="35"/>
      <c r="I44" s="35"/>
      <c r="J44" s="35"/>
    </row>
    <row r="45" spans="2:10" x14ac:dyDescent="0.25">
      <c r="D45" s="35"/>
      <c r="E45" s="35"/>
      <c r="F45" s="35"/>
      <c r="G45" s="35"/>
      <c r="H45" s="35"/>
      <c r="I45" s="35"/>
      <c r="J45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626F-0062-4F35-9FF4-E7E948E34376}">
  <dimension ref="B2:J45"/>
  <sheetViews>
    <sheetView showGridLines="0" topLeftCell="A21" zoomScale="85" zoomScaleNormal="85" workbookViewId="0">
      <selection activeCell="G27" sqref="G27"/>
    </sheetView>
  </sheetViews>
  <sheetFormatPr defaultRowHeight="15.75" x14ac:dyDescent="0.25"/>
  <cols>
    <col min="1" max="1" width="2.5" customWidth="1"/>
    <col min="2" max="2" width="41.625" customWidth="1"/>
    <col min="3" max="10" width="14.125" customWidth="1"/>
  </cols>
  <sheetData>
    <row r="2" spans="2:10" ht="18.75" x14ac:dyDescent="0.3">
      <c r="B2" s="1" t="s">
        <v>64</v>
      </c>
    </row>
    <row r="3" spans="2:10" x14ac:dyDescent="0.25">
      <c r="B3" s="2" t="s">
        <v>45</v>
      </c>
    </row>
    <row r="5" spans="2:10" x14ac:dyDescent="0.25">
      <c r="B5" s="64"/>
      <c r="C5" s="65" t="s">
        <v>65</v>
      </c>
      <c r="D5" s="65" t="s">
        <v>2</v>
      </c>
      <c r="E5" s="65" t="s">
        <v>3</v>
      </c>
      <c r="F5" s="65" t="s">
        <v>4</v>
      </c>
      <c r="G5" s="65" t="s">
        <v>5</v>
      </c>
      <c r="H5" s="65" t="s">
        <v>6</v>
      </c>
      <c r="I5" s="65" t="s">
        <v>7</v>
      </c>
      <c r="J5" s="65" t="s">
        <v>8</v>
      </c>
    </row>
    <row r="7" spans="2:10" x14ac:dyDescent="0.25">
      <c r="B7" s="69" t="s">
        <v>66</v>
      </c>
      <c r="C7" s="70"/>
      <c r="D7" s="70"/>
      <c r="E7" s="70"/>
      <c r="F7" s="70"/>
      <c r="G7" s="70"/>
      <c r="H7" s="70"/>
      <c r="I7" s="70"/>
      <c r="J7" s="70"/>
    </row>
    <row r="8" spans="2:10" x14ac:dyDescent="0.25">
      <c r="B8" s="5" t="s">
        <v>67</v>
      </c>
      <c r="C8" s="23">
        <v>3598</v>
      </c>
      <c r="D8" s="23">
        <v>4072</v>
      </c>
      <c r="E8" s="23">
        <v>4254</v>
      </c>
      <c r="F8" s="24">
        <f>E8+Assumptions!F28+Assumptions!F29-Assumptions!F22</f>
        <v>4488.3300000000008</v>
      </c>
      <c r="G8" s="24">
        <f>F8+Assumptions!G28+Assumptions!G29-Assumptions!G22</f>
        <v>4739.0631000000012</v>
      </c>
      <c r="H8" s="24">
        <f>G8+Assumptions!H28+Assumptions!H29-Assumptions!H22</f>
        <v>5006.0938515000007</v>
      </c>
      <c r="I8" s="24">
        <f>H8+Assumptions!I28+Assumptions!I29-Assumptions!I22</f>
        <v>5290.4816018475012</v>
      </c>
      <c r="J8" s="24">
        <f>I8+Assumptions!J28+Assumptions!J29-Assumptions!J22</f>
        <v>5591.9326172158508</v>
      </c>
    </row>
    <row r="9" spans="2:10" x14ac:dyDescent="0.25">
      <c r="B9" s="5" t="s">
        <v>68</v>
      </c>
      <c r="C9" s="23">
        <v>7737</v>
      </c>
      <c r="D9" s="23">
        <v>7237</v>
      </c>
      <c r="E9" s="23">
        <v>7187</v>
      </c>
      <c r="F9" s="24">
        <f>E9+Assumptions!F46-Assumptions!F23</f>
        <v>7102.1400000000012</v>
      </c>
      <c r="G9" s="24">
        <f>F9+Assumptions!G46-Assumptions!G23</f>
        <v>6929.7966250000009</v>
      </c>
      <c r="H9" s="24">
        <f>G9+Assumptions!H46-Assumptions!H23</f>
        <v>6669.8279778125016</v>
      </c>
      <c r="I9" s="24">
        <f>H9+Assumptions!I46-Assumptions!I23</f>
        <v>6323.0490308414091</v>
      </c>
      <c r="J9" s="24">
        <f>I9+Assumptions!J46-Assumptions!J23</f>
        <v>5889.9856904611843</v>
      </c>
    </row>
    <row r="10" spans="2:10" x14ac:dyDescent="0.25">
      <c r="B10" s="5" t="s">
        <v>29</v>
      </c>
      <c r="C10" s="23">
        <v>5245</v>
      </c>
      <c r="D10" s="23">
        <v>5101</v>
      </c>
      <c r="E10" s="23">
        <v>4985</v>
      </c>
      <c r="F10" s="24">
        <f>E10+Assumptions!F30-Assumptions!F24</f>
        <v>4908</v>
      </c>
      <c r="G10" s="24">
        <f>F10+Assumptions!G30-Assumptions!G24</f>
        <v>4831</v>
      </c>
      <c r="H10" s="24">
        <f>G10+Assumptions!H30-Assumptions!H24</f>
        <v>4754</v>
      </c>
      <c r="I10" s="24">
        <f>H10+Assumptions!I30-Assumptions!I24</f>
        <v>4677</v>
      </c>
      <c r="J10" s="24">
        <f>I10+Assumptions!J30-Assumptions!J24</f>
        <v>4600</v>
      </c>
    </row>
    <row r="11" spans="2:10" x14ac:dyDescent="0.25">
      <c r="B11" s="5" t="s">
        <v>69</v>
      </c>
      <c r="C11" s="23">
        <v>423</v>
      </c>
      <c r="D11" s="23">
        <v>428</v>
      </c>
      <c r="E11" s="23">
        <v>441</v>
      </c>
      <c r="F11" s="25">
        <f>E11</f>
        <v>441</v>
      </c>
      <c r="G11" s="25">
        <f>F11</f>
        <v>441</v>
      </c>
      <c r="H11" s="25">
        <f>G11</f>
        <v>441</v>
      </c>
      <c r="I11" s="25">
        <f>H11</f>
        <v>441</v>
      </c>
      <c r="J11" s="25">
        <f>I11</f>
        <v>441</v>
      </c>
    </row>
    <row r="12" spans="2:10" x14ac:dyDescent="0.25">
      <c r="B12" s="12" t="s">
        <v>70</v>
      </c>
      <c r="C12" s="31">
        <f>SUM(C8:C11)</f>
        <v>17003</v>
      </c>
      <c r="D12" s="31">
        <f>SUM(D8:D11)</f>
        <v>16838</v>
      </c>
      <c r="E12" s="31">
        <f>SUM(E8:E11)</f>
        <v>16867</v>
      </c>
      <c r="F12" s="32">
        <f>SUM(F8:F11)</f>
        <v>16939.47</v>
      </c>
      <c r="G12" s="32">
        <f>SUM(G8:G11)</f>
        <v>16940.859725000002</v>
      </c>
      <c r="H12" s="32">
        <f>SUM(H8:H11)</f>
        <v>16870.921829312501</v>
      </c>
      <c r="I12" s="32">
        <f>SUM(I8:I11)</f>
        <v>16731.530632688911</v>
      </c>
      <c r="J12" s="32">
        <f>SUM(J8:J11)</f>
        <v>16522.918307677035</v>
      </c>
    </row>
    <row r="13" spans="2:10" x14ac:dyDescent="0.25">
      <c r="B13" s="5"/>
      <c r="C13" s="28"/>
      <c r="D13" s="28"/>
      <c r="E13" s="28"/>
      <c r="F13" s="29"/>
      <c r="G13" s="29"/>
      <c r="H13" s="29"/>
      <c r="I13" s="29"/>
      <c r="J13" s="29"/>
    </row>
    <row r="14" spans="2:10" x14ac:dyDescent="0.25">
      <c r="B14" s="69" t="s">
        <v>71</v>
      </c>
      <c r="C14" s="70"/>
      <c r="D14" s="70"/>
      <c r="E14" s="70"/>
      <c r="F14" s="70"/>
      <c r="G14" s="70"/>
      <c r="H14" s="70"/>
      <c r="I14" s="70"/>
      <c r="J14" s="70"/>
    </row>
    <row r="15" spans="2:10" x14ac:dyDescent="0.25">
      <c r="B15" s="5" t="s">
        <v>72</v>
      </c>
      <c r="C15" s="23">
        <v>7321</v>
      </c>
      <c r="D15" s="23">
        <v>7078</v>
      </c>
      <c r="E15" s="23">
        <v>7894</v>
      </c>
      <c r="F15" s="24">
        <f>Assumptions!F12*Assumptions!F34/365</f>
        <v>8432.3146310136999</v>
      </c>
      <c r="G15" s="24">
        <f>Assumptions!G12*Assumptions!G34/365</f>
        <v>9006.9124596027414</v>
      </c>
      <c r="H15" s="24">
        <f>Assumptions!H12*Assumptions!H34/365</f>
        <v>9592.3617694769182</v>
      </c>
      <c r="I15" s="24">
        <f>Assumptions!I12*Assumptions!I34/365</f>
        <v>10215.865284492918</v>
      </c>
      <c r="J15" s="24">
        <f>Assumptions!J12*Assumptions!J34/365</f>
        <v>10828.817201562493</v>
      </c>
    </row>
    <row r="16" spans="2:10" x14ac:dyDescent="0.25">
      <c r="B16" s="5" t="s">
        <v>73</v>
      </c>
      <c r="C16" s="23">
        <v>2733</v>
      </c>
      <c r="D16" s="23">
        <v>2969</v>
      </c>
      <c r="E16" s="23">
        <v>3134</v>
      </c>
      <c r="F16" s="24">
        <f>Assumptions!F8*Assumptions!F35/365</f>
        <v>3359.8703561643842</v>
      </c>
      <c r="G16" s="24">
        <f>Assumptions!G8*Assumptions!G35/365</f>
        <v>3595.061281095891</v>
      </c>
      <c r="H16" s="24">
        <f>Assumptions!H8*Assumptions!H35/365</f>
        <v>3828.7402643671239</v>
      </c>
      <c r="I16" s="24">
        <f>Assumptions!I8*Assumptions!I35/365</f>
        <v>4077.6083815509869</v>
      </c>
      <c r="J16" s="24">
        <f>Assumptions!J8*Assumptions!J35/365</f>
        <v>4322.2648844440464</v>
      </c>
    </row>
    <row r="17" spans="2:10" x14ac:dyDescent="0.25">
      <c r="B17" s="5" t="s">
        <v>74</v>
      </c>
      <c r="C17" s="23">
        <v>282</v>
      </c>
      <c r="D17" s="23">
        <v>133</v>
      </c>
      <c r="E17" s="23">
        <v>497</v>
      </c>
      <c r="F17" s="25">
        <f>E17</f>
        <v>497</v>
      </c>
      <c r="G17" s="25">
        <f>E17</f>
        <v>497</v>
      </c>
      <c r="H17" s="25">
        <f>E17</f>
        <v>497</v>
      </c>
      <c r="I17" s="25">
        <f>E17</f>
        <v>497</v>
      </c>
      <c r="J17" s="25">
        <f>E17</f>
        <v>497</v>
      </c>
    </row>
    <row r="18" spans="2:10" x14ac:dyDescent="0.25">
      <c r="B18" s="5" t="s">
        <v>75</v>
      </c>
      <c r="C18" s="23">
        <v>1442</v>
      </c>
      <c r="D18" s="23">
        <v>2798</v>
      </c>
      <c r="E18" s="23">
        <v>4147</v>
      </c>
      <c r="F18" s="25">
        <f>F28+F41-F12-F15-F16-F17</f>
        <v>5463.4764164168619</v>
      </c>
      <c r="G18" s="25">
        <f>G28+G41-G12-G15-G16-G17</f>
        <v>7038.4718484303512</v>
      </c>
      <c r="H18" s="25">
        <f>H28+H41-H12-H15-H16-H17</f>
        <v>8816.8740079016716</v>
      </c>
      <c r="I18" s="25">
        <f>I28+I41-I12-I15-I16-I17</f>
        <v>10831.01078506064</v>
      </c>
      <c r="J18" s="25">
        <f>J28+J41-J12-J15-J16-J17</f>
        <v>13062.356281396091</v>
      </c>
    </row>
    <row r="19" spans="2:10" x14ac:dyDescent="0.25">
      <c r="B19" s="12" t="s">
        <v>76</v>
      </c>
      <c r="C19" s="31">
        <f>SUM(C15:C18)</f>
        <v>11778</v>
      </c>
      <c r="D19" s="31">
        <f>SUM(D15:D18)</f>
        <v>12978</v>
      </c>
      <c r="E19" s="31">
        <f>SUM(E15:E18)</f>
        <v>15672</v>
      </c>
      <c r="F19" s="32">
        <f>SUM(F15:F18)</f>
        <v>17752.661403594946</v>
      </c>
      <c r="G19" s="32">
        <f>SUM(G15:G18)</f>
        <v>20137.445589128984</v>
      </c>
      <c r="H19" s="32">
        <f>SUM(H15:H18)</f>
        <v>22734.976041745715</v>
      </c>
      <c r="I19" s="32">
        <f>SUM(I15:I18)</f>
        <v>25621.484451104545</v>
      </c>
      <c r="J19" s="32">
        <f>SUM(J15:J18)</f>
        <v>28710.438367402632</v>
      </c>
    </row>
    <row r="20" spans="2:10" x14ac:dyDescent="0.25">
      <c r="B20" s="5"/>
      <c r="C20" s="28"/>
      <c r="D20" s="28"/>
      <c r="E20" s="28"/>
      <c r="F20" s="29"/>
      <c r="G20" s="29"/>
      <c r="H20" s="29"/>
      <c r="I20" s="29"/>
      <c r="J20" s="29"/>
    </row>
    <row r="21" spans="2:10" ht="16.5" thickBot="1" x14ac:dyDescent="0.3">
      <c r="B21" s="14" t="s">
        <v>77</v>
      </c>
      <c r="C21" s="33">
        <f>C12+C19</f>
        <v>28781</v>
      </c>
      <c r="D21" s="33">
        <f>D12+D19</f>
        <v>29816</v>
      </c>
      <c r="E21" s="33">
        <f>E12+E19</f>
        <v>32539</v>
      </c>
      <c r="F21" s="34">
        <f>F12+F19</f>
        <v>34692.131403594947</v>
      </c>
      <c r="G21" s="34">
        <f>G12+G19</f>
        <v>37078.305314128986</v>
      </c>
      <c r="H21" s="34">
        <f>H12+H19</f>
        <v>39605.897871058216</v>
      </c>
      <c r="I21" s="34">
        <f>I12+I19</f>
        <v>42353.015083793456</v>
      </c>
      <c r="J21" s="34">
        <f>J12+J19</f>
        <v>45233.356675079667</v>
      </c>
    </row>
    <row r="22" spans="2:10" ht="16.5" thickTop="1" x14ac:dyDescent="0.25">
      <c r="B22" s="5"/>
      <c r="C22" s="28"/>
      <c r="D22" s="28"/>
      <c r="E22" s="28"/>
      <c r="F22" s="29"/>
      <c r="G22" s="29"/>
      <c r="H22" s="29"/>
      <c r="I22" s="29"/>
      <c r="J22" s="29"/>
    </row>
    <row r="23" spans="2:10" x14ac:dyDescent="0.25">
      <c r="B23" s="69" t="s">
        <v>78</v>
      </c>
      <c r="C23" s="70"/>
      <c r="D23" s="70"/>
      <c r="E23" s="70"/>
      <c r="F23" s="70"/>
      <c r="G23" s="70"/>
      <c r="H23" s="70"/>
      <c r="I23" s="70"/>
      <c r="J23" s="70"/>
    </row>
    <row r="24" spans="2:10" x14ac:dyDescent="0.25">
      <c r="B24" s="5" t="s">
        <v>79</v>
      </c>
      <c r="C24" s="23">
        <v>15064</v>
      </c>
      <c r="D24" s="23">
        <v>16529</v>
      </c>
      <c r="E24" s="23">
        <v>18031</v>
      </c>
      <c r="F24" s="24">
        <f>E24+'Income Statement'!F33+'Income Statement'!F35</f>
        <v>19601.272935866207</v>
      </c>
      <c r="G24" s="24">
        <f>F24+'Income Statement'!G33+'Income Statement'!G35</f>
        <v>21348.436800826872</v>
      </c>
      <c r="H24" s="24">
        <f>G24+'Income Statement'!H33+'Income Statement'!H35</f>
        <v>23222.260986851332</v>
      </c>
      <c r="I24" s="24">
        <f>H24+'Income Statement'!I33+'Income Statement'!I35</f>
        <v>25276.084928873948</v>
      </c>
      <c r="J24" s="24">
        <f>I24+'Income Statement'!J33+'Income Statement'!J35</f>
        <v>27465.322596840258</v>
      </c>
    </row>
    <row r="25" spans="2:10" x14ac:dyDescent="0.25">
      <c r="B25" s="5" t="s">
        <v>80</v>
      </c>
      <c r="C25" s="23">
        <v>-3652</v>
      </c>
      <c r="D25" s="23">
        <v>-4166</v>
      </c>
      <c r="E25" s="23">
        <v>-4599</v>
      </c>
      <c r="F25" s="25">
        <f>E25</f>
        <v>-4599</v>
      </c>
      <c r="G25" s="25">
        <f>F25</f>
        <v>-4599</v>
      </c>
      <c r="H25" s="25">
        <f>G25</f>
        <v>-4599</v>
      </c>
      <c r="I25" s="25">
        <f>H25</f>
        <v>-4599</v>
      </c>
      <c r="J25" s="25">
        <f>I25</f>
        <v>-4599</v>
      </c>
    </row>
    <row r="26" spans="2:10" x14ac:dyDescent="0.25">
      <c r="B26" s="12" t="s">
        <v>81</v>
      </c>
      <c r="C26" s="31">
        <f>C24+C25</f>
        <v>11412</v>
      </c>
      <c r="D26" s="31">
        <f>D24+D25</f>
        <v>12363</v>
      </c>
      <c r="E26" s="31">
        <f>E24+E25</f>
        <v>13432</v>
      </c>
      <c r="F26" s="32">
        <f>F24+F25</f>
        <v>15002.272935866207</v>
      </c>
      <c r="G26" s="32">
        <f>G24+G25</f>
        <v>16749.436800826872</v>
      </c>
      <c r="H26" s="32">
        <f>H24+H25</f>
        <v>18623.260986851332</v>
      </c>
      <c r="I26" s="32">
        <f>I24+I25</f>
        <v>20677.084928873948</v>
      </c>
      <c r="J26" s="32">
        <f>J24+J25</f>
        <v>22866.322596840258</v>
      </c>
    </row>
    <row r="27" spans="2:10" x14ac:dyDescent="0.25">
      <c r="B27" s="5" t="s">
        <v>82</v>
      </c>
      <c r="C27" s="23">
        <v>914</v>
      </c>
      <c r="D27" s="23">
        <v>1058</v>
      </c>
      <c r="E27" s="23">
        <v>988</v>
      </c>
      <c r="F27" s="24">
        <f>E27+'Income Statement'!F32*0.5</f>
        <v>1063.4154966602409</v>
      </c>
      <c r="G27" s="24">
        <f>F27+'Income Statement'!G32*0.5</f>
        <v>1147.3265337884141</v>
      </c>
      <c r="H27" s="24">
        <f>G27+'Income Statement'!H32*0.5</f>
        <v>1237.3206860247913</v>
      </c>
      <c r="I27" s="24">
        <f>H27+'Income Statement'!I32*0.5</f>
        <v>1335.9596863555764</v>
      </c>
      <c r="J27" s="24">
        <f>I27+'Income Statement'!J32*0.5</f>
        <v>1441.1022015616427</v>
      </c>
    </row>
    <row r="28" spans="2:10" x14ac:dyDescent="0.25">
      <c r="B28" s="12" t="s">
        <v>83</v>
      </c>
      <c r="C28" s="31">
        <f>C26+C27</f>
        <v>12326</v>
      </c>
      <c r="D28" s="31">
        <f>D26+D27</f>
        <v>13421</v>
      </c>
      <c r="E28" s="31">
        <f>E26+E27</f>
        <v>14420</v>
      </c>
      <c r="F28" s="32">
        <f>F26+F27</f>
        <v>16065.688432526447</v>
      </c>
      <c r="G28" s="32">
        <f>G26+G27</f>
        <v>17896.763334615287</v>
      </c>
      <c r="H28" s="32">
        <f>H26+H27</f>
        <v>19860.581672876124</v>
      </c>
      <c r="I28" s="32">
        <f>I26+I27</f>
        <v>22013.044615229526</v>
      </c>
      <c r="J28" s="32">
        <f>J26+J27</f>
        <v>24307.424798401902</v>
      </c>
    </row>
    <row r="29" spans="2:10" x14ac:dyDescent="0.25">
      <c r="B29" s="5"/>
      <c r="C29" s="28"/>
      <c r="D29" s="28"/>
      <c r="E29" s="28"/>
      <c r="F29" s="29"/>
      <c r="G29" s="29"/>
      <c r="H29" s="29"/>
      <c r="I29" s="29"/>
      <c r="J29" s="29"/>
    </row>
    <row r="30" spans="2:10" x14ac:dyDescent="0.25">
      <c r="B30" s="69" t="s">
        <v>84</v>
      </c>
      <c r="C30" s="70"/>
      <c r="D30" s="70"/>
      <c r="E30" s="70"/>
      <c r="F30" s="70"/>
      <c r="G30" s="70"/>
      <c r="H30" s="70"/>
      <c r="I30" s="70"/>
      <c r="J30" s="70"/>
    </row>
    <row r="31" spans="2:10" x14ac:dyDescent="0.25">
      <c r="B31" s="5" t="s">
        <v>85</v>
      </c>
      <c r="C31" s="23">
        <v>7028</v>
      </c>
      <c r="D31" s="23">
        <v>6512</v>
      </c>
      <c r="E31" s="23">
        <v>6355</v>
      </c>
      <c r="F31" s="24">
        <f>E31+E37+Assumptions!F46-Assumptions!F47-F37</f>
        <v>6405.6237100000008</v>
      </c>
      <c r="G31" s="24">
        <f>F31+F37+Assumptions!G46-Assumptions!G47-G37</f>
        <v>6470.4674200000009</v>
      </c>
      <c r="H31" s="24">
        <f>G31+G37+Assumptions!H46-Assumptions!H47-H37</f>
        <v>6535.2158650000019</v>
      </c>
      <c r="I31" s="24">
        <f>H31+H37+Assumptions!I46-Assumptions!I47-I37</f>
        <v>6599.9643100000012</v>
      </c>
      <c r="J31" s="24">
        <f>I31+I37+Assumptions!J46-Assumptions!J47-J37</f>
        <v>6664.6174900000005</v>
      </c>
    </row>
    <row r="32" spans="2:10" x14ac:dyDescent="0.25">
      <c r="B32" s="5" t="s">
        <v>86</v>
      </c>
      <c r="C32" s="23">
        <v>2040</v>
      </c>
      <c r="D32" s="23">
        <v>1979</v>
      </c>
      <c r="E32" s="23">
        <v>1604</v>
      </c>
      <c r="F32" s="25">
        <f>E32</f>
        <v>1604</v>
      </c>
      <c r="G32" s="25">
        <f>F32</f>
        <v>1604</v>
      </c>
      <c r="H32" s="25">
        <f>G32</f>
        <v>1604</v>
      </c>
      <c r="I32" s="25">
        <f>H32</f>
        <v>1604</v>
      </c>
      <c r="J32" s="25">
        <f>I32</f>
        <v>1604</v>
      </c>
    </row>
    <row r="33" spans="2:10" x14ac:dyDescent="0.25">
      <c r="B33" s="12" t="s">
        <v>87</v>
      </c>
      <c r="C33" s="31">
        <f>C31+C32</f>
        <v>9068</v>
      </c>
      <c r="D33" s="31">
        <f>D31+D32</f>
        <v>8491</v>
      </c>
      <c r="E33" s="31">
        <f>E31+E32</f>
        <v>7959</v>
      </c>
      <c r="F33" s="32">
        <f>F31+F32</f>
        <v>8009.6237100000008</v>
      </c>
      <c r="G33" s="32">
        <f>G31+G32</f>
        <v>8074.4674200000009</v>
      </c>
      <c r="H33" s="32">
        <f>H31+H32</f>
        <v>8139.2158650000019</v>
      </c>
      <c r="I33" s="32">
        <f>I31+I32</f>
        <v>8203.9643100000012</v>
      </c>
      <c r="J33" s="32">
        <f>J31+J32</f>
        <v>8268.6174900000005</v>
      </c>
    </row>
    <row r="34" spans="2:10" x14ac:dyDescent="0.25">
      <c r="B34" s="5"/>
      <c r="C34" s="28"/>
      <c r="D34" s="28"/>
      <c r="E34" s="28"/>
      <c r="F34" s="29"/>
      <c r="G34" s="29"/>
      <c r="H34" s="29"/>
      <c r="I34" s="29"/>
      <c r="J34" s="29"/>
    </row>
    <row r="35" spans="2:10" x14ac:dyDescent="0.25">
      <c r="B35" s="69" t="s">
        <v>88</v>
      </c>
      <c r="C35" s="70"/>
      <c r="D35" s="70"/>
      <c r="E35" s="70"/>
      <c r="F35" s="70"/>
      <c r="G35" s="70"/>
      <c r="H35" s="70"/>
      <c r="I35" s="70"/>
      <c r="J35" s="70"/>
    </row>
    <row r="36" spans="2:10" x14ac:dyDescent="0.25">
      <c r="B36" s="5" t="s">
        <v>89</v>
      </c>
      <c r="C36" s="23">
        <v>4877</v>
      </c>
      <c r="D36" s="23">
        <v>5175</v>
      </c>
      <c r="E36" s="23">
        <v>6424</v>
      </c>
      <c r="F36" s="24">
        <f>Assumptions!F12*Assumptions!F36/365</f>
        <v>6842.6159710684942</v>
      </c>
      <c r="G36" s="24">
        <f>Assumptions!G12*Assumptions!G36/365</f>
        <v>7308.8879795137</v>
      </c>
      <c r="H36" s="24">
        <f>Assumptions!H12*Assumptions!H36/365</f>
        <v>7783.9656981820908</v>
      </c>
      <c r="I36" s="24">
        <f>Assumptions!I12*Assumptions!I36/365</f>
        <v>8289.9234685639258</v>
      </c>
      <c r="J36" s="24">
        <f>Assumptions!J12*Assumptions!J36/365</f>
        <v>8787.3188766777621</v>
      </c>
    </row>
    <row r="37" spans="2:10" x14ac:dyDescent="0.25">
      <c r="B37" s="5" t="s">
        <v>90</v>
      </c>
      <c r="C37" s="23">
        <v>2093</v>
      </c>
      <c r="D37" s="23">
        <v>2126</v>
      </c>
      <c r="E37" s="23">
        <v>2331</v>
      </c>
      <c r="F37" s="24">
        <f>(E31+E37+Assumptions!F46-Assumptions!F47)*0.27</f>
        <v>2369.2032900000004</v>
      </c>
      <c r="G37" s="24">
        <f>(F31+F37+Assumptions!G46-Assumptions!G47)*0.27</f>
        <v>2393.186580000001</v>
      </c>
      <c r="H37" s="24">
        <f>(G31+G37+Assumptions!H46-Assumptions!H47)*0.27</f>
        <v>2417.1346350000008</v>
      </c>
      <c r="I37" s="24">
        <f>(H31+H37+Assumptions!I46-Assumptions!I47)*0.27</f>
        <v>2441.0826900000006</v>
      </c>
      <c r="J37" s="24">
        <f>(I31+I37+Assumptions!J46-Assumptions!J47)*0.27</f>
        <v>2464.9955100000006</v>
      </c>
    </row>
    <row r="38" spans="2:10" x14ac:dyDescent="0.25">
      <c r="B38" s="5" t="s">
        <v>91</v>
      </c>
      <c r="C38" s="23">
        <v>417</v>
      </c>
      <c r="D38" s="23">
        <v>603</v>
      </c>
      <c r="E38" s="23">
        <v>1405</v>
      </c>
      <c r="F38" s="25">
        <f>E38</f>
        <v>1405</v>
      </c>
      <c r="G38" s="25">
        <f>F38</f>
        <v>1405</v>
      </c>
      <c r="H38" s="25">
        <f>G38</f>
        <v>1405</v>
      </c>
      <c r="I38" s="25">
        <f>H38</f>
        <v>1405</v>
      </c>
      <c r="J38" s="25">
        <f>I38</f>
        <v>1405</v>
      </c>
    </row>
    <row r="39" spans="2:10" x14ac:dyDescent="0.25">
      <c r="B39" s="12" t="s">
        <v>92</v>
      </c>
      <c r="C39" s="31">
        <f>SUM(C36:C38)</f>
        <v>7387</v>
      </c>
      <c r="D39" s="31">
        <f>SUM(D36:D38)</f>
        <v>7904</v>
      </c>
      <c r="E39" s="31">
        <f>SUM(E36:E38)</f>
        <v>10160</v>
      </c>
      <c r="F39" s="32">
        <f>SUM(F36:F38)</f>
        <v>10616.819261068495</v>
      </c>
      <c r="G39" s="32">
        <f>SUM(G36:G38)</f>
        <v>11107.074559513701</v>
      </c>
      <c r="H39" s="32">
        <f>SUM(H36:H38)</f>
        <v>11606.100333182092</v>
      </c>
      <c r="I39" s="32">
        <f>SUM(I36:I38)</f>
        <v>12136.006158563927</v>
      </c>
      <c r="J39" s="32">
        <f>SUM(J36:J38)</f>
        <v>12657.314386677763</v>
      </c>
    </row>
    <row r="40" spans="2:10" x14ac:dyDescent="0.25">
      <c r="B40" s="5"/>
      <c r="C40" s="28"/>
      <c r="D40" s="28"/>
      <c r="E40" s="28"/>
      <c r="F40" s="29"/>
      <c r="G40" s="29"/>
      <c r="H40" s="29"/>
      <c r="I40" s="29"/>
      <c r="J40" s="29"/>
    </row>
    <row r="41" spans="2:10" x14ac:dyDescent="0.25">
      <c r="B41" s="12" t="s">
        <v>93</v>
      </c>
      <c r="C41" s="31">
        <f>C33+C39</f>
        <v>16455</v>
      </c>
      <c r="D41" s="31">
        <f>D33+D39</f>
        <v>16395</v>
      </c>
      <c r="E41" s="31">
        <f>E33+E39</f>
        <v>18119</v>
      </c>
      <c r="F41" s="32">
        <f>F33+F39</f>
        <v>18626.442971068496</v>
      </c>
      <c r="G41" s="32">
        <f>G33+G39</f>
        <v>19181.541979513702</v>
      </c>
      <c r="H41" s="32">
        <f>H33+H39</f>
        <v>19745.316198182096</v>
      </c>
      <c r="I41" s="32">
        <f>I33+I39</f>
        <v>20339.97046856393</v>
      </c>
      <c r="J41" s="32">
        <f>J33+J39</f>
        <v>20925.931876677765</v>
      </c>
    </row>
    <row r="42" spans="2:10" x14ac:dyDescent="0.25">
      <c r="B42" s="5"/>
      <c r="C42" s="28"/>
      <c r="D42" s="28"/>
      <c r="E42" s="28"/>
      <c r="F42" s="29"/>
      <c r="G42" s="29"/>
      <c r="H42" s="29"/>
      <c r="I42" s="29"/>
      <c r="J42" s="29"/>
    </row>
    <row r="43" spans="2:10" ht="16.5" thickBot="1" x14ac:dyDescent="0.3">
      <c r="B43" s="14" t="s">
        <v>94</v>
      </c>
      <c r="C43" s="33">
        <f>C28+C41</f>
        <v>28781</v>
      </c>
      <c r="D43" s="33">
        <f>D28+D41</f>
        <v>29816</v>
      </c>
      <c r="E43" s="33">
        <f>E28+E41</f>
        <v>32539</v>
      </c>
      <c r="F43" s="34">
        <f>F28+F41</f>
        <v>34692.131403594947</v>
      </c>
      <c r="G43" s="34">
        <f>G28+G41</f>
        <v>37078.305314128986</v>
      </c>
      <c r="H43" s="34">
        <f>H28+H41</f>
        <v>39605.897871058216</v>
      </c>
      <c r="I43" s="34">
        <f>I28+I41</f>
        <v>42353.015083793456</v>
      </c>
      <c r="J43" s="34">
        <f>J28+J41</f>
        <v>45233.356675079667</v>
      </c>
    </row>
    <row r="44" spans="2:10" ht="16.5" thickTop="1" x14ac:dyDescent="0.25">
      <c r="B44" s="5"/>
      <c r="C44" s="28"/>
      <c r="D44" s="28"/>
      <c r="E44" s="28"/>
      <c r="F44" s="29"/>
      <c r="G44" s="29"/>
      <c r="H44" s="29"/>
      <c r="I44" s="29"/>
      <c r="J44" s="29"/>
    </row>
    <row r="45" spans="2:10" x14ac:dyDescent="0.25">
      <c r="B45" s="17"/>
      <c r="C45" s="31"/>
      <c r="D45" s="31"/>
      <c r="E45" s="31"/>
      <c r="F45" s="32"/>
      <c r="G45" s="32"/>
      <c r="H45" s="32"/>
      <c r="I45" s="32"/>
      <c r="J45" s="3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1DCF-22B9-4C1A-8F3D-FBFB7BA5D59C}">
  <dimension ref="B2:J45"/>
  <sheetViews>
    <sheetView showGridLines="0" topLeftCell="A9" workbookViewId="0">
      <selection activeCell="B5" sqref="B5:J5"/>
    </sheetView>
  </sheetViews>
  <sheetFormatPr defaultRowHeight="15.75" x14ac:dyDescent="0.25"/>
  <cols>
    <col min="1" max="1" width="2.5" customWidth="1"/>
    <col min="2" max="2" width="41.625" customWidth="1"/>
    <col min="3" max="3" width="1.625" customWidth="1"/>
    <col min="4" max="10" width="14.125" customWidth="1"/>
  </cols>
  <sheetData>
    <row r="2" spans="2:10" ht="18.75" x14ac:dyDescent="0.3">
      <c r="B2" s="1" t="s">
        <v>95</v>
      </c>
    </row>
    <row r="3" spans="2:10" x14ac:dyDescent="0.25">
      <c r="B3" s="2" t="s">
        <v>45</v>
      </c>
    </row>
    <row r="5" spans="2:10" x14ac:dyDescent="0.25">
      <c r="B5" s="66"/>
      <c r="C5" s="67"/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  <c r="J5" s="68" t="s">
        <v>8</v>
      </c>
    </row>
    <row r="7" spans="2:10" x14ac:dyDescent="0.25">
      <c r="B7" s="54" t="s">
        <v>96</v>
      </c>
      <c r="C7" s="54"/>
      <c r="D7" s="55"/>
      <c r="E7" s="55"/>
      <c r="F7" s="55"/>
      <c r="G7" s="55"/>
      <c r="H7" s="55"/>
      <c r="I7" s="55"/>
      <c r="J7" s="55"/>
    </row>
    <row r="8" spans="2:10" x14ac:dyDescent="0.25">
      <c r="B8" s="5" t="s">
        <v>54</v>
      </c>
      <c r="C8" s="5"/>
      <c r="D8" s="23">
        <v>3424</v>
      </c>
      <c r="E8" s="23">
        <v>3789</v>
      </c>
      <c r="F8" s="24">
        <f>'Income Statement'!F30</f>
        <v>4076.5133329859977</v>
      </c>
      <c r="G8" s="24">
        <f>'Income Statement'!G30</f>
        <v>4535.7317366580064</v>
      </c>
      <c r="H8" s="24">
        <f>'Income Statement'!H30</f>
        <v>4864.5487695339034</v>
      </c>
      <c r="I8" s="24">
        <f>'Income Statement'!I30</f>
        <v>5331.8378557181204</v>
      </c>
      <c r="J8" s="24">
        <f>'Income Statement'!J30</f>
        <v>5683.3792003279059</v>
      </c>
    </row>
    <row r="9" spans="2:10" x14ac:dyDescent="0.25">
      <c r="B9" s="5" t="s">
        <v>21</v>
      </c>
      <c r="C9" s="5"/>
      <c r="D9" s="23">
        <v>2919</v>
      </c>
      <c r="E9" s="23">
        <v>3117</v>
      </c>
      <c r="F9" s="24">
        <f>Assumptions!F25</f>
        <v>3241.9849999999997</v>
      </c>
      <c r="G9" s="24">
        <f>Assumptions!G25</f>
        <v>3372.7605749999993</v>
      </c>
      <c r="H9" s="24">
        <f>Assumptions!H25</f>
        <v>3499.8522401874993</v>
      </c>
      <c r="I9" s="24">
        <f>Assumptions!I25</f>
        <v>3632.4723360160929</v>
      </c>
      <c r="J9" s="24">
        <f>Assumptions!J25</f>
        <v>3760.2437827679255</v>
      </c>
    </row>
    <row r="10" spans="2:10" x14ac:dyDescent="0.25">
      <c r="B10" s="5" t="s">
        <v>97</v>
      </c>
      <c r="C10" s="5"/>
      <c r="D10" s="23">
        <v>20</v>
      </c>
      <c r="E10" s="23">
        <v>24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2:10" x14ac:dyDescent="0.25">
      <c r="B11" s="5" t="s">
        <v>98</v>
      </c>
      <c r="C11" s="5"/>
      <c r="D11" s="23">
        <v>1522</v>
      </c>
      <c r="E11" s="23">
        <v>1647</v>
      </c>
      <c r="F11" s="24">
        <f>-'Income Statement'!F28-'Income Statement'!F24-'Income Statement'!F25-'Income Statement'!F22-F20</f>
        <v>1506.2549270139991</v>
      </c>
      <c r="G11" s="24">
        <f>-'Income Statement'!G28-'Income Statement'!G24-'Income Statement'!G25-'Income Statement'!G22-G20</f>
        <v>1548.3230871107376</v>
      </c>
      <c r="H11" s="24">
        <f>-'Income Statement'!H28-'Income Statement'!H24-'Income Statement'!H25-'Income Statement'!H22-H20</f>
        <v>1523.4794079088251</v>
      </c>
      <c r="I11" s="24">
        <f>-'Income Statement'!I28-'Income Statement'!I24-'Income Statement'!I25-'Income Statement'!I22-I20</f>
        <v>1531.8081550519325</v>
      </c>
      <c r="J11" s="24">
        <f>-'Income Statement'!J28-'Income Statement'!J24-'Income Statement'!J25-'Income Statement'!J22-J20</f>
        <v>1480.7012458369827</v>
      </c>
    </row>
    <row r="12" spans="2:10" x14ac:dyDescent="0.25">
      <c r="B12" s="12" t="s">
        <v>99</v>
      </c>
      <c r="C12" s="12"/>
      <c r="D12" s="31">
        <f>SUM(D8:D11)</f>
        <v>7885</v>
      </c>
      <c r="E12" s="31">
        <f>SUM(E8:E11)</f>
        <v>8577</v>
      </c>
      <c r="F12" s="32">
        <f>SUM(F8:F11)</f>
        <v>8824.7532599999959</v>
      </c>
      <c r="G12" s="32">
        <f>SUM(G8:G11)</f>
        <v>9456.8153987687438</v>
      </c>
      <c r="H12" s="32">
        <f>SUM(H8:H11)</f>
        <v>9887.8804176302292</v>
      </c>
      <c r="I12" s="32">
        <f>SUM(I8:I11)</f>
        <v>10496.118346786147</v>
      </c>
      <c r="J12" s="32">
        <f>SUM(J8:J11)</f>
        <v>10924.324228932814</v>
      </c>
    </row>
    <row r="13" spans="2:10" x14ac:dyDescent="0.25">
      <c r="B13" s="5"/>
      <c r="C13" s="5"/>
      <c r="D13" s="28"/>
      <c r="E13" s="28"/>
      <c r="F13" s="29"/>
      <c r="G13" s="29"/>
      <c r="H13" s="29"/>
      <c r="I13" s="29"/>
      <c r="J13" s="29"/>
    </row>
    <row r="14" spans="2:10" x14ac:dyDescent="0.25">
      <c r="B14" s="12" t="s">
        <v>100</v>
      </c>
      <c r="C14" s="12"/>
      <c r="D14" s="31">
        <f>D15+D16+D17+49</f>
        <v>122</v>
      </c>
      <c r="E14" s="31">
        <f>E15+E16+E17-39</f>
        <v>87</v>
      </c>
      <c r="F14" s="32">
        <f>F15+F16+F17</f>
        <v>-345.56901610958994</v>
      </c>
      <c r="G14" s="32">
        <f>G15+G16+G17</f>
        <v>-343.51674507534244</v>
      </c>
      <c r="H14" s="32">
        <f>H15+H16+H17</f>
        <v>-344.05057447701893</v>
      </c>
      <c r="I14" s="32">
        <f>I15+I16+I17</f>
        <v>-366.41386181802818</v>
      </c>
      <c r="J14" s="32">
        <f>J15+J16+J17</f>
        <v>-360.21301184879803</v>
      </c>
    </row>
    <row r="15" spans="2:10" x14ac:dyDescent="0.25">
      <c r="B15" s="22" t="s">
        <v>101</v>
      </c>
      <c r="C15" s="5"/>
      <c r="D15" s="23">
        <v>265</v>
      </c>
      <c r="E15" s="23">
        <v>-811</v>
      </c>
      <c r="F15" s="24">
        <f>-('Balance Sheet'!F15-'Balance Sheet'!E15)</f>
        <v>-538.31463101369991</v>
      </c>
      <c r="G15" s="24">
        <f>-('Balance Sheet'!G15-'Balance Sheet'!F15)</f>
        <v>-574.59782858904146</v>
      </c>
      <c r="H15" s="24">
        <f>-('Balance Sheet'!H15-'Balance Sheet'!G15)</f>
        <v>-585.44930987417683</v>
      </c>
      <c r="I15" s="24">
        <f>-('Balance Sheet'!I15-'Balance Sheet'!H15)</f>
        <v>-623.50351501600016</v>
      </c>
      <c r="J15" s="24">
        <f>-('Balance Sheet'!J15-'Balance Sheet'!I15)</f>
        <v>-612.95191706957485</v>
      </c>
    </row>
    <row r="16" spans="2:10" x14ac:dyDescent="0.25">
      <c r="B16" s="22" t="s">
        <v>102</v>
      </c>
      <c r="C16" s="5"/>
      <c r="D16" s="23">
        <v>-169</v>
      </c>
      <c r="E16" s="23">
        <v>-160</v>
      </c>
      <c r="F16" s="24">
        <f>-('Balance Sheet'!F16-'Balance Sheet'!E16)</f>
        <v>-225.87035616438425</v>
      </c>
      <c r="G16" s="24">
        <f>-('Balance Sheet'!G16-'Balance Sheet'!F16)</f>
        <v>-235.19092493150674</v>
      </c>
      <c r="H16" s="24">
        <f>-('Balance Sheet'!H16-'Balance Sheet'!G16)</f>
        <v>-233.67898327123294</v>
      </c>
      <c r="I16" s="24">
        <f>-('Balance Sheet'!I16-'Balance Sheet'!H16)</f>
        <v>-248.86811718386298</v>
      </c>
      <c r="J16" s="24">
        <f>-('Balance Sheet'!J16-'Balance Sheet'!I16)</f>
        <v>-244.6565028930595</v>
      </c>
    </row>
    <row r="17" spans="2:10" x14ac:dyDescent="0.25">
      <c r="B17" s="22" t="s">
        <v>103</v>
      </c>
      <c r="C17" s="5"/>
      <c r="D17" s="23">
        <v>-23</v>
      </c>
      <c r="E17" s="23">
        <v>1097</v>
      </c>
      <c r="F17" s="24">
        <f>'Balance Sheet'!F36-'Balance Sheet'!E36</f>
        <v>418.61597106849422</v>
      </c>
      <c r="G17" s="24">
        <f>'Balance Sheet'!G36-'Balance Sheet'!F36</f>
        <v>466.27200844520576</v>
      </c>
      <c r="H17" s="24">
        <f>'Balance Sheet'!H36-'Balance Sheet'!G36</f>
        <v>475.07771866839084</v>
      </c>
      <c r="I17" s="24">
        <f>'Balance Sheet'!I36-'Balance Sheet'!H36</f>
        <v>505.95777038183496</v>
      </c>
      <c r="J17" s="24">
        <f>'Balance Sheet'!J36-'Balance Sheet'!I36</f>
        <v>497.39540811383631</v>
      </c>
    </row>
    <row r="18" spans="2:10" x14ac:dyDescent="0.25">
      <c r="B18" s="12" t="s">
        <v>104</v>
      </c>
      <c r="C18" s="12"/>
      <c r="D18" s="31">
        <f>D12+D14</f>
        <v>8007</v>
      </c>
      <c r="E18" s="31">
        <f>E12+E14</f>
        <v>8664</v>
      </c>
      <c r="F18" s="32">
        <f>F12+F14</f>
        <v>8479.1842438904059</v>
      </c>
      <c r="G18" s="32">
        <f>G12+G14</f>
        <v>9113.2986536934004</v>
      </c>
      <c r="H18" s="32">
        <f>H12+H14</f>
        <v>9543.8298431532094</v>
      </c>
      <c r="I18" s="32">
        <f>I12+I14</f>
        <v>10129.704484968119</v>
      </c>
      <c r="J18" s="32">
        <f>J12+J14</f>
        <v>10564.111217084015</v>
      </c>
    </row>
    <row r="19" spans="2:10" x14ac:dyDescent="0.25">
      <c r="B19" s="5"/>
      <c r="C19" s="5"/>
      <c r="D19" s="28"/>
      <c r="E19" s="28"/>
      <c r="F19" s="29"/>
      <c r="G19" s="29"/>
      <c r="H19" s="29"/>
      <c r="I19" s="29"/>
      <c r="J19" s="29"/>
    </row>
    <row r="20" spans="2:10" x14ac:dyDescent="0.25">
      <c r="B20" s="5" t="s">
        <v>105</v>
      </c>
      <c r="C20" s="5"/>
      <c r="D20" s="23">
        <v>459</v>
      </c>
      <c r="E20" s="23">
        <v>468</v>
      </c>
      <c r="F20" s="24">
        <f>E20*(1+Assumptions!F9)</f>
        <v>500.76000000000005</v>
      </c>
      <c r="G20" s="24">
        <f>F20*(1+Assumptions!G9)</f>
        <v>535.81320000000005</v>
      </c>
      <c r="H20" s="24">
        <f>G20*(1+Assumptions!H9)</f>
        <v>570.64105800000004</v>
      </c>
      <c r="I20" s="24">
        <f>H20*(1+Assumptions!I9)</f>
        <v>607.73272677</v>
      </c>
      <c r="J20" s="24">
        <f>I20*(1+Assumptions!J9)</f>
        <v>644.19669037620008</v>
      </c>
    </row>
    <row r="21" spans="2:10" x14ac:dyDescent="0.25">
      <c r="B21" s="5" t="s">
        <v>106</v>
      </c>
      <c r="C21" s="5"/>
      <c r="D21" s="23">
        <v>-95</v>
      </c>
      <c r="E21" s="23">
        <v>-69</v>
      </c>
      <c r="F21" s="24">
        <f>'Income Statement'!F25</f>
        <v>-66</v>
      </c>
      <c r="G21" s="24">
        <f>'Income Statement'!G25</f>
        <v>-66</v>
      </c>
      <c r="H21" s="24">
        <f>'Income Statement'!H25</f>
        <v>-66</v>
      </c>
      <c r="I21" s="24">
        <f>'Income Statement'!I25</f>
        <v>-66</v>
      </c>
      <c r="J21" s="24">
        <f>'Income Statement'!J25</f>
        <v>-66</v>
      </c>
    </row>
    <row r="22" spans="2:10" x14ac:dyDescent="0.25">
      <c r="B22" s="5" t="s">
        <v>107</v>
      </c>
      <c r="C22" s="5"/>
      <c r="D22" s="23">
        <v>161</v>
      </c>
      <c r="E22" s="23">
        <v>216</v>
      </c>
      <c r="F22" s="24">
        <f>'Income Statement'!F9</f>
        <v>311.02499999999998</v>
      </c>
      <c r="G22" s="24">
        <f>'Income Statement'!G9</f>
        <v>409.76073123126463</v>
      </c>
      <c r="H22" s="24">
        <f>'Income Statement'!H9</f>
        <v>527.88538863227632</v>
      </c>
      <c r="I22" s="24">
        <f>'Income Statement'!I9</f>
        <v>661.26555059262535</v>
      </c>
      <c r="J22" s="24">
        <f>'Income Statement'!J9</f>
        <v>812.32580887954794</v>
      </c>
    </row>
    <row r="23" spans="2:10" x14ac:dyDescent="0.25">
      <c r="B23" s="5" t="s">
        <v>108</v>
      </c>
      <c r="C23" s="5"/>
      <c r="D23" s="23">
        <v>-1386</v>
      </c>
      <c r="E23" s="23">
        <v>-837</v>
      </c>
      <c r="F23" s="24">
        <f>'Income Statement'!F28</f>
        <v>-1492.4939525139994</v>
      </c>
      <c r="G23" s="24">
        <f>'Income Statement'!G28</f>
        <v>-1660.6230948420025</v>
      </c>
      <c r="H23" s="24">
        <f>'Income Statement'!H28</f>
        <v>-1781.0096587911014</v>
      </c>
      <c r="I23" s="24">
        <f>'Income Statement'!I28</f>
        <v>-1952.093641164558</v>
      </c>
      <c r="J23" s="24">
        <f>'Income Statement'!J28</f>
        <v>-2080.8000350927305</v>
      </c>
    </row>
    <row r="24" spans="2:10" x14ac:dyDescent="0.25">
      <c r="B24" s="21" t="s">
        <v>109</v>
      </c>
      <c r="C24" s="21"/>
      <c r="D24" s="36">
        <f>D18+SUM(D20:D23)</f>
        <v>7146</v>
      </c>
      <c r="E24" s="36">
        <f>E18+SUM(E20:E23)</f>
        <v>8442</v>
      </c>
      <c r="F24" s="37">
        <f>F18+SUM(F20:F23)</f>
        <v>7732.4752913764069</v>
      </c>
      <c r="G24" s="37">
        <f>G18+SUM(G20:G23)</f>
        <v>8332.2494900826623</v>
      </c>
      <c r="H24" s="37">
        <f>H18+SUM(H20:H23)</f>
        <v>8795.3466309943851</v>
      </c>
      <c r="I24" s="37">
        <f>I18+SUM(I20:I23)</f>
        <v>9380.609121166186</v>
      </c>
      <c r="J24" s="37">
        <f>J18+SUM(J20:J23)</f>
        <v>9873.8336812470334</v>
      </c>
    </row>
    <row r="25" spans="2:10" x14ac:dyDescent="0.25">
      <c r="B25" s="5"/>
      <c r="C25" s="5"/>
      <c r="D25" s="28"/>
      <c r="E25" s="28"/>
      <c r="F25" s="29"/>
      <c r="G25" s="29"/>
      <c r="H25" s="29"/>
      <c r="I25" s="29"/>
      <c r="J25" s="29"/>
    </row>
    <row r="26" spans="2:10" x14ac:dyDescent="0.25">
      <c r="B26" s="56" t="s">
        <v>110</v>
      </c>
      <c r="C26" s="54"/>
      <c r="D26" s="55"/>
      <c r="E26" s="55"/>
      <c r="F26" s="55"/>
      <c r="G26" s="55"/>
      <c r="H26" s="55"/>
      <c r="I26" s="55"/>
      <c r="J26" s="55"/>
    </row>
    <row r="27" spans="2:10" x14ac:dyDescent="0.25">
      <c r="B27" s="5" t="s">
        <v>111</v>
      </c>
      <c r="C27" s="5"/>
      <c r="D27" s="23">
        <v>-915</v>
      </c>
      <c r="E27" s="23">
        <v>-797</v>
      </c>
      <c r="F27" s="24">
        <f>-(Assumptions!F28+Assumptions!F29)</f>
        <v>-852.79</v>
      </c>
      <c r="G27" s="24">
        <f>-(Assumptions!G28+Assumptions!G29)</f>
        <v>-912.48530000000005</v>
      </c>
      <c r="H27" s="24">
        <f>-(Assumptions!H28+Assumptions!H29)</f>
        <v>-971.79684450000013</v>
      </c>
      <c r="I27" s="24">
        <f>-(Assumptions!I28+Assumptions!I29)</f>
        <v>-1034.9636393925</v>
      </c>
      <c r="J27" s="24">
        <f>-(Assumptions!J28+Assumptions!J29)</f>
        <v>-1097.06145775605</v>
      </c>
    </row>
    <row r="28" spans="2:10" x14ac:dyDescent="0.25">
      <c r="B28" s="5" t="s">
        <v>112</v>
      </c>
      <c r="C28" s="5"/>
      <c r="D28" s="23">
        <v>-69</v>
      </c>
      <c r="E28" s="23">
        <v>-47</v>
      </c>
      <c r="F28" s="24">
        <f>-Assumptions!F30</f>
        <v>-47</v>
      </c>
      <c r="G28" s="24">
        <f>-Assumptions!G30</f>
        <v>-47</v>
      </c>
      <c r="H28" s="24">
        <f>-Assumptions!H30</f>
        <v>-47</v>
      </c>
      <c r="I28" s="24">
        <f>-Assumptions!I30</f>
        <v>-47</v>
      </c>
      <c r="J28" s="24">
        <f>-Assumptions!J30</f>
        <v>-47</v>
      </c>
    </row>
    <row r="29" spans="2:10" x14ac:dyDescent="0.25">
      <c r="B29" s="5" t="s">
        <v>113</v>
      </c>
      <c r="C29" s="5"/>
      <c r="D29" s="23">
        <v>8</v>
      </c>
      <c r="E29" s="23">
        <v>-284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2:10" x14ac:dyDescent="0.25">
      <c r="B30" s="12" t="s">
        <v>114</v>
      </c>
      <c r="C30" s="12"/>
      <c r="D30" s="31">
        <f>SUM(D27:D29)</f>
        <v>-976</v>
      </c>
      <c r="E30" s="31">
        <f>SUM(E27:E29)</f>
        <v>-1128</v>
      </c>
      <c r="F30" s="32">
        <f>SUM(F27:F29)</f>
        <v>-899.79</v>
      </c>
      <c r="G30" s="32">
        <f>SUM(G27:G29)</f>
        <v>-959.48530000000005</v>
      </c>
      <c r="H30" s="32">
        <f>SUM(H27:H29)</f>
        <v>-1018.7968445000001</v>
      </c>
      <c r="I30" s="32">
        <f>SUM(I27:I29)</f>
        <v>-1081.9636393925</v>
      </c>
      <c r="J30" s="32">
        <f>SUM(J27:J29)</f>
        <v>-1144.06145775605</v>
      </c>
    </row>
    <row r="31" spans="2:10" x14ac:dyDescent="0.25">
      <c r="B31" s="5"/>
      <c r="C31" s="5"/>
      <c r="D31" s="28"/>
      <c r="E31" s="28"/>
      <c r="F31" s="29"/>
      <c r="G31" s="29"/>
      <c r="H31" s="29"/>
      <c r="I31" s="29"/>
      <c r="J31" s="29"/>
    </row>
    <row r="32" spans="2:10" x14ac:dyDescent="0.25">
      <c r="B32" s="56" t="s">
        <v>115</v>
      </c>
      <c r="C32" s="56"/>
      <c r="D32" s="57"/>
      <c r="E32" s="57"/>
      <c r="F32" s="57"/>
      <c r="G32" s="57"/>
      <c r="H32" s="57"/>
      <c r="I32" s="57"/>
      <c r="J32" s="57"/>
    </row>
    <row r="33" spans="2:10" x14ac:dyDescent="0.25">
      <c r="B33" s="5" t="s">
        <v>116</v>
      </c>
      <c r="C33" s="5"/>
      <c r="D33" s="23">
        <v>-2089</v>
      </c>
      <c r="E33" s="23">
        <v>-2278</v>
      </c>
      <c r="F33" s="24">
        <f>-Assumptions!F47</f>
        <v>-2325.8379999999997</v>
      </c>
      <c r="G33" s="24">
        <f>-Assumptions!G47</f>
        <v>-2325.8379999999997</v>
      </c>
      <c r="H33" s="24">
        <f>-Assumptions!H47</f>
        <v>-2322.4210000000003</v>
      </c>
      <c r="I33" s="24">
        <f>-Assumptions!I47</f>
        <v>-2322.4210000000003</v>
      </c>
      <c r="J33" s="24">
        <f>-Assumptions!J47</f>
        <v>-2319.0039999999999</v>
      </c>
    </row>
    <row r="34" spans="2:10" x14ac:dyDescent="0.25">
      <c r="B34" s="5" t="s">
        <v>117</v>
      </c>
      <c r="C34" s="5"/>
      <c r="D34" s="23">
        <v>-715</v>
      </c>
      <c r="E34" s="23">
        <v>-755</v>
      </c>
      <c r="F34" s="24">
        <f>'Income Statement'!F24</f>
        <v>-759.54597449999994</v>
      </c>
      <c r="G34" s="24">
        <f>'Income Statement'!G24</f>
        <v>-767.27392350000014</v>
      </c>
      <c r="H34" s="24">
        <f>'Income Statement'!H24</f>
        <v>-774.9961957500002</v>
      </c>
      <c r="I34" s="24">
        <f>'Income Statement'!I24</f>
        <v>-782.71279125000012</v>
      </c>
      <c r="J34" s="24">
        <f>'Income Statement'!J24</f>
        <v>-790.42371000000014</v>
      </c>
    </row>
    <row r="35" spans="2:10" x14ac:dyDescent="0.25">
      <c r="B35" s="5" t="s">
        <v>118</v>
      </c>
      <c r="C35" s="5"/>
      <c r="D35" s="23">
        <v>-1911</v>
      </c>
      <c r="E35" s="23">
        <v>-2178</v>
      </c>
      <c r="F35" s="24">
        <f>'Income Statement'!F35</f>
        <v>-2355.4094037993095</v>
      </c>
      <c r="G35" s="24">
        <f>'Income Statement'!G35</f>
        <v>-2620.7457974409958</v>
      </c>
      <c r="H35" s="24">
        <f>'Income Statement'!H35</f>
        <v>-2810.7362790366897</v>
      </c>
      <c r="I35" s="24">
        <f>'Income Statement'!I35</f>
        <v>-3080.73591303393</v>
      </c>
      <c r="J35" s="24">
        <f>'Income Statement'!J35</f>
        <v>-3283.856501949464</v>
      </c>
    </row>
    <row r="36" spans="2:10" x14ac:dyDescent="0.25">
      <c r="B36" s="5" t="s">
        <v>119</v>
      </c>
      <c r="C36" s="5"/>
      <c r="D36" s="23">
        <v>5</v>
      </c>
      <c r="E36" s="23">
        <v>66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2:10" x14ac:dyDescent="0.25">
      <c r="B37" s="5" t="s">
        <v>125</v>
      </c>
      <c r="C37" s="5"/>
      <c r="D37" s="23">
        <v>-103</v>
      </c>
      <c r="E37" s="23">
        <v>-789</v>
      </c>
      <c r="F37" s="24">
        <f>-'Income Statement'!F32*0.5</f>
        <v>-75.415496660240962</v>
      </c>
      <c r="G37" s="24">
        <f>-'Income Statement'!G32*0.5</f>
        <v>-83.91103712817312</v>
      </c>
      <c r="H37" s="24">
        <f>-'Income Statement'!H32*0.5</f>
        <v>-89.994152236377204</v>
      </c>
      <c r="I37" s="24">
        <f>-'Income Statement'!I32*0.5</f>
        <v>-98.639000330785223</v>
      </c>
      <c r="J37" s="24">
        <f>-'Income Statement'!J32*0.5</f>
        <v>-105.14251520606625</v>
      </c>
    </row>
    <row r="38" spans="2:10" x14ac:dyDescent="0.25">
      <c r="B38" s="12" t="s">
        <v>120</v>
      </c>
      <c r="C38" s="12"/>
      <c r="D38" s="31">
        <f>SUM(D33:D37)</f>
        <v>-4813</v>
      </c>
      <c r="E38" s="31">
        <f>SUM(E33:E37)</f>
        <v>-5934</v>
      </c>
      <c r="F38" s="32">
        <f>SUM(F33:F37)</f>
        <v>-5516.2088749595505</v>
      </c>
      <c r="G38" s="32">
        <f>SUM(G33:G37)</f>
        <v>-5797.7687580691691</v>
      </c>
      <c r="H38" s="32">
        <f>SUM(H33:H37)</f>
        <v>-5998.1476270230669</v>
      </c>
      <c r="I38" s="32">
        <f>SUM(I33:I37)</f>
        <v>-6284.5087046147155</v>
      </c>
      <c r="J38" s="32">
        <f>SUM(J33:J37)</f>
        <v>-6498.42672715553</v>
      </c>
    </row>
    <row r="39" spans="2:10" x14ac:dyDescent="0.25">
      <c r="B39" s="5"/>
      <c r="C39" s="5"/>
      <c r="D39" s="28"/>
      <c r="E39" s="28"/>
      <c r="F39" s="29"/>
      <c r="G39" s="29"/>
      <c r="H39" s="29"/>
      <c r="I39" s="29"/>
      <c r="J39" s="29"/>
    </row>
    <row r="40" spans="2:10" x14ac:dyDescent="0.25">
      <c r="B40" s="12" t="s">
        <v>121</v>
      </c>
      <c r="C40" s="12"/>
      <c r="D40" s="31">
        <f>D24+D30+D38</f>
        <v>1357</v>
      </c>
      <c r="E40" s="31">
        <f>E24+E30+E38</f>
        <v>1380</v>
      </c>
      <c r="F40" s="32">
        <f>F24+F30+F38</f>
        <v>1316.4764164168564</v>
      </c>
      <c r="G40" s="32">
        <f>G24+G30+G38</f>
        <v>1574.995432013493</v>
      </c>
      <c r="H40" s="32">
        <f>H24+H30+H38</f>
        <v>1778.4021594713176</v>
      </c>
      <c r="I40" s="32">
        <f>I24+I30+I38</f>
        <v>2014.1367771589712</v>
      </c>
      <c r="J40" s="32">
        <f>J24+J30+J38</f>
        <v>2231.3454963354534</v>
      </c>
    </row>
    <row r="41" spans="2:10" x14ac:dyDescent="0.25">
      <c r="B41" s="5" t="s">
        <v>122</v>
      </c>
      <c r="C41" s="5"/>
      <c r="D41" s="23">
        <v>1442</v>
      </c>
      <c r="E41" s="23">
        <v>2798</v>
      </c>
      <c r="F41" s="24">
        <f>'Balance Sheet'!E18</f>
        <v>4147</v>
      </c>
      <c r="G41" s="24">
        <f>'Balance Sheet'!F18</f>
        <v>5463.4764164168619</v>
      </c>
      <c r="H41" s="24">
        <f>'Balance Sheet'!G18</f>
        <v>7038.4718484303512</v>
      </c>
      <c r="I41" s="24">
        <f>'Balance Sheet'!H18</f>
        <v>8816.8740079016716</v>
      </c>
      <c r="J41" s="24">
        <f>'Balance Sheet'!I18</f>
        <v>10831.01078506064</v>
      </c>
    </row>
    <row r="42" spans="2:10" x14ac:dyDescent="0.25">
      <c r="B42" s="5" t="s">
        <v>123</v>
      </c>
      <c r="C42" s="5"/>
      <c r="D42" s="23">
        <v>-1</v>
      </c>
      <c r="E42" s="23">
        <v>-31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2:10" ht="16.5" thickBot="1" x14ac:dyDescent="0.3">
      <c r="B43" s="14" t="s">
        <v>124</v>
      </c>
      <c r="C43" s="14"/>
      <c r="D43" s="33">
        <f>D40+D41+D42</f>
        <v>2798</v>
      </c>
      <c r="E43" s="33">
        <f>E40+E41+E42</f>
        <v>4147</v>
      </c>
      <c r="F43" s="34">
        <f>F40+F41+F42</f>
        <v>5463.4764164168564</v>
      </c>
      <c r="G43" s="34">
        <f>G40+G41+G42</f>
        <v>7038.4718484303548</v>
      </c>
      <c r="H43" s="34">
        <f>H40+H41+H42</f>
        <v>8816.8740079016679</v>
      </c>
      <c r="I43" s="34">
        <f>I40+I41+I42</f>
        <v>10831.010785060644</v>
      </c>
      <c r="J43" s="34">
        <f>J40+J41+J42</f>
        <v>13062.356281396093</v>
      </c>
    </row>
    <row r="44" spans="2:10" ht="16.5" thickTop="1" x14ac:dyDescent="0.25">
      <c r="B44" s="5"/>
      <c r="C44" s="5"/>
      <c r="D44" s="58"/>
      <c r="E44" s="58"/>
      <c r="F44" s="58"/>
      <c r="G44" s="58"/>
      <c r="H44" s="58"/>
      <c r="I44" s="58"/>
      <c r="J44" s="58"/>
    </row>
    <row r="45" spans="2:10" x14ac:dyDescent="0.25">
      <c r="B45" s="20"/>
      <c r="C45" s="20"/>
      <c r="D45" s="59"/>
      <c r="E45" s="59"/>
      <c r="F45" s="59"/>
      <c r="G45" s="59"/>
      <c r="H45" s="59"/>
      <c r="I45" s="59"/>
      <c r="J45" s="5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138-F402-4335-A8A9-1E3603EA3DC0}">
  <dimension ref="B2:N116"/>
  <sheetViews>
    <sheetView showGridLines="0" tabSelected="1" topLeftCell="A69" zoomScale="85" zoomScaleNormal="85" workbookViewId="0">
      <selection activeCell="D19" sqref="D19"/>
    </sheetView>
  </sheetViews>
  <sheetFormatPr defaultRowHeight="15.75" x14ac:dyDescent="0.25"/>
  <cols>
    <col min="1" max="1" width="2.5" customWidth="1"/>
    <col min="2" max="2" width="46.625" customWidth="1"/>
    <col min="3" max="3" width="1.625" customWidth="1"/>
    <col min="4" max="12" width="14.125" customWidth="1"/>
  </cols>
  <sheetData>
    <row r="2" spans="2:14" ht="18.75" x14ac:dyDescent="0.3">
      <c r="B2" s="1" t="s">
        <v>126</v>
      </c>
    </row>
    <row r="3" spans="2:14" x14ac:dyDescent="0.25">
      <c r="B3" s="2" t="s">
        <v>1</v>
      </c>
    </row>
    <row r="5" spans="2:14" x14ac:dyDescent="0.25">
      <c r="B5" s="72" t="s">
        <v>127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2:14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4" x14ac:dyDescent="0.25">
      <c r="B7" s="73" t="s">
        <v>128</v>
      </c>
      <c r="C7" s="73"/>
      <c r="D7" s="73"/>
      <c r="E7" s="73"/>
      <c r="F7" s="73"/>
      <c r="G7" s="73"/>
      <c r="H7" s="73"/>
      <c r="I7" s="73"/>
      <c r="J7" s="73"/>
      <c r="K7" s="73"/>
      <c r="L7" s="73"/>
      <c r="N7" s="71"/>
    </row>
    <row r="8" spans="2:14" x14ac:dyDescent="0.25">
      <c r="B8" s="4" t="s">
        <v>129</v>
      </c>
      <c r="C8" s="4"/>
      <c r="D8" s="8">
        <v>8.4000000000000005E-2</v>
      </c>
      <c r="E8" s="4"/>
      <c r="F8" s="4"/>
      <c r="G8" s="4"/>
      <c r="H8" s="4"/>
      <c r="I8" s="4"/>
      <c r="J8" s="4"/>
      <c r="K8" s="4"/>
      <c r="L8" s="4"/>
    </row>
    <row r="9" spans="2:14" x14ac:dyDescent="0.25">
      <c r="B9" s="52" t="s">
        <v>192</v>
      </c>
      <c r="C9" s="4"/>
      <c r="D9" s="8">
        <v>0.06</v>
      </c>
      <c r="E9" s="4"/>
      <c r="F9" s="4"/>
      <c r="G9" s="4"/>
      <c r="H9" s="4"/>
      <c r="I9" s="4"/>
      <c r="J9" s="4"/>
      <c r="K9" s="4"/>
      <c r="L9" s="4"/>
    </row>
    <row r="10" spans="2:14" x14ac:dyDescent="0.25">
      <c r="B10" s="4" t="s">
        <v>130</v>
      </c>
      <c r="C10" s="4"/>
      <c r="D10" s="46">
        <v>0.85</v>
      </c>
      <c r="E10" s="4"/>
      <c r="F10" s="4"/>
      <c r="G10" s="4"/>
      <c r="H10" s="4"/>
      <c r="I10" s="4"/>
      <c r="J10" s="4"/>
      <c r="K10" s="4"/>
      <c r="L10" s="4"/>
    </row>
    <row r="11" spans="2:14" x14ac:dyDescent="0.25">
      <c r="B11" s="3" t="s">
        <v>131</v>
      </c>
      <c r="C11" s="4"/>
      <c r="D11" s="6">
        <f>D8+D10*D9</f>
        <v>0.13500000000000001</v>
      </c>
      <c r="E11" s="4"/>
      <c r="F11" s="4"/>
      <c r="G11" s="4"/>
      <c r="H11" s="4"/>
      <c r="I11" s="4"/>
      <c r="J11" s="4"/>
      <c r="K11" s="4"/>
      <c r="L11" s="4"/>
    </row>
    <row r="12" spans="2:14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4" x14ac:dyDescent="0.25">
      <c r="B13" s="73" t="s">
        <v>132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4" x14ac:dyDescent="0.25">
      <c r="B14" s="4" t="s">
        <v>133</v>
      </c>
      <c r="C14" s="4">
        <v>0</v>
      </c>
      <c r="D14" s="8">
        <v>8.6999999999999994E-2</v>
      </c>
      <c r="E14" s="4"/>
      <c r="F14" s="4"/>
      <c r="G14" s="4"/>
      <c r="H14" s="4"/>
      <c r="I14" s="4"/>
      <c r="J14" s="4"/>
      <c r="K14" s="4"/>
      <c r="L14" s="4"/>
    </row>
    <row r="15" spans="2:14" x14ac:dyDescent="0.25">
      <c r="B15" s="4" t="s">
        <v>134</v>
      </c>
      <c r="C15" s="4">
        <v>0</v>
      </c>
      <c r="D15" s="8">
        <v>0.27</v>
      </c>
      <c r="E15" s="4"/>
      <c r="F15" s="4"/>
      <c r="G15" s="4"/>
      <c r="H15" s="4"/>
      <c r="I15" s="4"/>
      <c r="J15" s="4"/>
      <c r="K15" s="4"/>
      <c r="L15" s="4"/>
    </row>
    <row r="16" spans="2:14" x14ac:dyDescent="0.25">
      <c r="B16" s="3" t="s">
        <v>135</v>
      </c>
      <c r="C16" s="4"/>
      <c r="D16" s="6">
        <f>D14*(1-D15)</f>
        <v>6.3509999999999997E-2</v>
      </c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75" t="s">
        <v>136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2:12" x14ac:dyDescent="0.25">
      <c r="B19" s="4" t="s">
        <v>137</v>
      </c>
      <c r="C19" s="4"/>
      <c r="D19" s="10">
        <v>40459</v>
      </c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 t="s">
        <v>138</v>
      </c>
      <c r="C20" s="4"/>
      <c r="D20" s="5">
        <f>'Balance Sheet'!E31+'Balance Sheet'!E37</f>
        <v>8686</v>
      </c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 t="s">
        <v>139</v>
      </c>
      <c r="C21" s="4"/>
      <c r="D21" s="6">
        <f>D19/(D19+D20)</f>
        <v>0.82325770678604127</v>
      </c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 t="s">
        <v>140</v>
      </c>
      <c r="C22" s="4"/>
      <c r="D22" s="6">
        <f>D20/(D19+D20)</f>
        <v>0.17674229321395871</v>
      </c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78" t="s">
        <v>141</v>
      </c>
      <c r="C24" s="78"/>
      <c r="D24" s="79">
        <f>D11*D21+D16*D22</f>
        <v>0.1223646934581341</v>
      </c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76" t="s">
        <v>155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2:12" x14ac:dyDescent="0.25">
      <c r="B27" s="4"/>
      <c r="C27" s="4"/>
      <c r="D27" s="77" t="s">
        <v>4</v>
      </c>
      <c r="E27" s="77" t="s">
        <v>5</v>
      </c>
      <c r="F27" s="77" t="s">
        <v>6</v>
      </c>
      <c r="G27" s="77" t="s">
        <v>7</v>
      </c>
      <c r="H27" s="77" t="s">
        <v>8</v>
      </c>
      <c r="I27" s="4"/>
      <c r="J27" s="4"/>
      <c r="K27" s="4"/>
      <c r="L27" s="4"/>
    </row>
    <row r="28" spans="2:12" x14ac:dyDescent="0.25">
      <c r="B28" s="4"/>
      <c r="C28" s="4"/>
      <c r="D28" s="43" t="s">
        <v>142</v>
      </c>
      <c r="E28" s="43" t="s">
        <v>143</v>
      </c>
      <c r="F28" s="43" t="s">
        <v>144</v>
      </c>
      <c r="G28" s="43" t="s">
        <v>145</v>
      </c>
      <c r="H28" s="43" t="s">
        <v>146</v>
      </c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 t="s">
        <v>147</v>
      </c>
      <c r="C30" s="4"/>
      <c r="D30" s="5">
        <f>'Income Statement'!F19</f>
        <v>6083.5282599999973</v>
      </c>
      <c r="E30" s="5">
        <f>'Income Statement'!G19</f>
        <v>6619.868023768744</v>
      </c>
      <c r="F30" s="5">
        <f>'Income Statement'!H19</f>
        <v>6958.6692354427287</v>
      </c>
      <c r="G30" s="5">
        <f>'Income Statement'!I19</f>
        <v>7471.3787375400534</v>
      </c>
      <c r="H30" s="5">
        <f>'Income Statement'!J19</f>
        <v>7808.2771365410881</v>
      </c>
      <c r="I30" s="4"/>
      <c r="J30" s="4"/>
      <c r="K30" s="4"/>
      <c r="L30" s="4"/>
    </row>
    <row r="31" spans="2:12" x14ac:dyDescent="0.25">
      <c r="B31" s="4" t="s">
        <v>134</v>
      </c>
      <c r="C31" s="4"/>
      <c r="D31" s="6">
        <f>Assumptions!F19</f>
        <v>0.26800000000000002</v>
      </c>
      <c r="E31" s="6">
        <f>Assumptions!G19</f>
        <v>0.26800000000000002</v>
      </c>
      <c r="F31" s="6">
        <f>Assumptions!H19</f>
        <v>0.26800000000000002</v>
      </c>
      <c r="G31" s="6">
        <f>Assumptions!I19</f>
        <v>0.26800000000000002</v>
      </c>
      <c r="H31" s="6">
        <f>Assumptions!J19</f>
        <v>0.26800000000000002</v>
      </c>
      <c r="I31" s="4"/>
      <c r="J31" s="4"/>
      <c r="K31" s="4"/>
      <c r="L31" s="4"/>
    </row>
    <row r="32" spans="2:12" x14ac:dyDescent="0.25">
      <c r="B32" s="11" t="s">
        <v>148</v>
      </c>
      <c r="C32" s="44"/>
      <c r="D32" s="45">
        <f>D30*(1-D31)</f>
        <v>4453.1426863199977</v>
      </c>
      <c r="E32" s="45">
        <f>E30*(1-E31)</f>
        <v>4845.7433933987204</v>
      </c>
      <c r="F32" s="45">
        <f>F30*(1-F31)</f>
        <v>5093.7458803440777</v>
      </c>
      <c r="G32" s="45">
        <f>G30*(1-G31)</f>
        <v>5469.049235879319</v>
      </c>
      <c r="H32" s="45">
        <f>H30*(1-H31)</f>
        <v>5715.658863948076</v>
      </c>
      <c r="I32" s="4"/>
      <c r="J32" s="4"/>
      <c r="K32" s="4"/>
      <c r="L32" s="4"/>
    </row>
    <row r="33" spans="2:12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3" t="s">
        <v>149</v>
      </c>
      <c r="C34" s="4"/>
      <c r="D34" s="5">
        <f>D35+D36+D37</f>
        <v>3241.9849999999997</v>
      </c>
      <c r="E34" s="5">
        <f>E35+E36+E37</f>
        <v>3372.7605749999993</v>
      </c>
      <c r="F34" s="5">
        <f>F35+F36+F37</f>
        <v>3499.8522401874993</v>
      </c>
      <c r="G34" s="5">
        <f>G35+G36+G37</f>
        <v>3632.4723360160929</v>
      </c>
      <c r="H34" s="5">
        <f>H35+H36+H37</f>
        <v>3760.2437827679255</v>
      </c>
      <c r="I34" s="4"/>
      <c r="J34" s="4"/>
      <c r="K34" s="4"/>
      <c r="L34" s="4"/>
    </row>
    <row r="35" spans="2:12" x14ac:dyDescent="0.25">
      <c r="B35" s="49" t="s">
        <v>150</v>
      </c>
      <c r="C35" s="4"/>
      <c r="D35" s="5">
        <f>Assumptions!F22</f>
        <v>618.46</v>
      </c>
      <c r="E35" s="5">
        <f>Assumptions!G22</f>
        <v>661.75220000000013</v>
      </c>
      <c r="F35" s="5">
        <f>Assumptions!H22</f>
        <v>704.76609300000007</v>
      </c>
      <c r="G35" s="5">
        <f>Assumptions!I22</f>
        <v>750.57588904500005</v>
      </c>
      <c r="H35" s="5">
        <f>Assumptions!J22</f>
        <v>795.61044238770012</v>
      </c>
      <c r="I35" s="4"/>
      <c r="J35" s="4"/>
      <c r="K35" s="4"/>
      <c r="L35" s="4"/>
    </row>
    <row r="36" spans="2:12" x14ac:dyDescent="0.25">
      <c r="B36" s="49" t="s">
        <v>151</v>
      </c>
      <c r="C36" s="4"/>
      <c r="D36" s="5">
        <f>Assumptions!F23</f>
        <v>2499.5249999999996</v>
      </c>
      <c r="E36" s="5">
        <f>Assumptions!G23</f>
        <v>2587.0083749999994</v>
      </c>
      <c r="F36" s="5">
        <f>Assumptions!H23</f>
        <v>2671.0861471874991</v>
      </c>
      <c r="G36" s="5">
        <f>Assumptions!I23</f>
        <v>2757.8964469710927</v>
      </c>
      <c r="H36" s="5">
        <f>Assumptions!J23</f>
        <v>2840.6333403802255</v>
      </c>
      <c r="I36" s="4"/>
      <c r="J36" s="4"/>
      <c r="K36" s="4"/>
      <c r="L36" s="4"/>
    </row>
    <row r="37" spans="2:12" x14ac:dyDescent="0.25">
      <c r="B37" s="49" t="s">
        <v>152</v>
      </c>
      <c r="C37" s="4"/>
      <c r="D37" s="5">
        <f>Assumptions!F24</f>
        <v>124</v>
      </c>
      <c r="E37" s="5">
        <f>Assumptions!G24</f>
        <v>124</v>
      </c>
      <c r="F37" s="5">
        <f>Assumptions!H24</f>
        <v>124</v>
      </c>
      <c r="G37" s="5">
        <f>Assumptions!I24</f>
        <v>124</v>
      </c>
      <c r="H37" s="5">
        <f>Assumptions!J24</f>
        <v>124</v>
      </c>
      <c r="I37" s="4"/>
      <c r="J37" s="4"/>
      <c r="K37" s="4"/>
      <c r="L37" s="4"/>
    </row>
    <row r="38" spans="2:12" x14ac:dyDescent="0.25">
      <c r="B38" s="3" t="s">
        <v>153</v>
      </c>
      <c r="C38" s="4"/>
      <c r="D38" s="5">
        <f>-Assumptions!F31</f>
        <v>-899.79</v>
      </c>
      <c r="E38" s="5">
        <f>-Assumptions!G31</f>
        <v>-959.48530000000005</v>
      </c>
      <c r="F38" s="5">
        <f>-Assumptions!H31</f>
        <v>-1018.7968445000001</v>
      </c>
      <c r="G38" s="5">
        <f>-Assumptions!I31</f>
        <v>-1081.9636393925</v>
      </c>
      <c r="H38" s="5">
        <f>-Assumptions!J31</f>
        <v>-1144.06145775605</v>
      </c>
      <c r="I38" s="4"/>
      <c r="J38" s="4"/>
      <c r="K38" s="4"/>
      <c r="L38" s="4"/>
    </row>
    <row r="39" spans="2:12" x14ac:dyDescent="0.25">
      <c r="B39" s="3" t="s">
        <v>154</v>
      </c>
      <c r="C39" s="4"/>
      <c r="D39" s="5">
        <f>D40+D41+D42</f>
        <v>-345.56901610958994</v>
      </c>
      <c r="E39" s="5">
        <f>E40+E41+E42</f>
        <v>-343.51674507534244</v>
      </c>
      <c r="F39" s="5">
        <f>F40+F41+F42</f>
        <v>-344.05057447701893</v>
      </c>
      <c r="G39" s="5">
        <f>G40+G41+G42</f>
        <v>-366.41386181802818</v>
      </c>
      <c r="H39" s="5">
        <f>H40+H41+H42</f>
        <v>-360.21301184879803</v>
      </c>
      <c r="I39" s="4"/>
      <c r="J39" s="4"/>
      <c r="K39" s="4"/>
      <c r="L39" s="4"/>
    </row>
    <row r="40" spans="2:12" x14ac:dyDescent="0.25">
      <c r="B40" s="49" t="s">
        <v>189</v>
      </c>
      <c r="C40" s="4"/>
      <c r="D40" s="5">
        <f>-('Balance Sheet'!F15-'Balance Sheet'!E15)</f>
        <v>-538.31463101369991</v>
      </c>
      <c r="E40" s="5">
        <f>-('Balance Sheet'!G15-'Balance Sheet'!F15)</f>
        <v>-574.59782858904146</v>
      </c>
      <c r="F40" s="5">
        <f>-('Balance Sheet'!H15-'Balance Sheet'!G15)</f>
        <v>-585.44930987417683</v>
      </c>
      <c r="G40" s="5">
        <f>-('Balance Sheet'!I15-'Balance Sheet'!H15)</f>
        <v>-623.50351501600016</v>
      </c>
      <c r="H40" s="5">
        <f>-('Balance Sheet'!J15-'Balance Sheet'!I15)</f>
        <v>-612.95191706957485</v>
      </c>
      <c r="I40" s="4"/>
      <c r="J40" s="4"/>
      <c r="K40" s="4"/>
      <c r="L40" s="4"/>
    </row>
    <row r="41" spans="2:12" x14ac:dyDescent="0.25">
      <c r="B41" s="49" t="s">
        <v>190</v>
      </c>
      <c r="C41" s="4"/>
      <c r="D41" s="5">
        <f>-('Balance Sheet'!F16-'Balance Sheet'!E16)</f>
        <v>-225.87035616438425</v>
      </c>
      <c r="E41" s="5">
        <f>-('Balance Sheet'!G16-'Balance Sheet'!F16)</f>
        <v>-235.19092493150674</v>
      </c>
      <c r="F41" s="5">
        <f>-('Balance Sheet'!H16-'Balance Sheet'!G16)</f>
        <v>-233.67898327123294</v>
      </c>
      <c r="G41" s="5">
        <f>-('Balance Sheet'!I16-'Balance Sheet'!H16)</f>
        <v>-248.86811718386298</v>
      </c>
      <c r="H41" s="5">
        <f>-('Balance Sheet'!J16-'Balance Sheet'!I16)</f>
        <v>-244.6565028930595</v>
      </c>
      <c r="I41" s="4"/>
      <c r="J41" s="4"/>
      <c r="K41" s="4"/>
      <c r="L41" s="4"/>
    </row>
    <row r="42" spans="2:12" x14ac:dyDescent="0.25">
      <c r="B42" s="49" t="s">
        <v>191</v>
      </c>
      <c r="C42" s="4"/>
      <c r="D42" s="5">
        <f>'Balance Sheet'!F36-'Balance Sheet'!E36</f>
        <v>418.61597106849422</v>
      </c>
      <c r="E42" s="5">
        <f>'Balance Sheet'!G36-'Balance Sheet'!F36</f>
        <v>466.27200844520576</v>
      </c>
      <c r="F42" s="5">
        <f>'Balance Sheet'!H36-'Balance Sheet'!G36</f>
        <v>475.07771866839084</v>
      </c>
      <c r="G42" s="5">
        <f>'Balance Sheet'!I36-'Balance Sheet'!H36</f>
        <v>505.95777038183496</v>
      </c>
      <c r="H42" s="5">
        <f>'Balance Sheet'!J36-'Balance Sheet'!I36</f>
        <v>497.39540811383631</v>
      </c>
      <c r="I42" s="4"/>
      <c r="J42" s="4"/>
      <c r="K42" s="4"/>
      <c r="L42" s="4"/>
    </row>
    <row r="43" spans="2:12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6.5" thickBot="1" x14ac:dyDescent="0.3">
      <c r="B44" s="13" t="s">
        <v>155</v>
      </c>
      <c r="C44" s="13"/>
      <c r="D44" s="14">
        <f>D32+D34+D38+D39</f>
        <v>6449.7686702104074</v>
      </c>
      <c r="E44" s="14">
        <f>E32+E34+E38+E39</f>
        <v>6915.501923323377</v>
      </c>
      <c r="F44" s="14">
        <f>F32+F34+F38+F39</f>
        <v>7230.7507015545571</v>
      </c>
      <c r="G44" s="14">
        <f>G32+G34+G38+G39</f>
        <v>7653.1440706848825</v>
      </c>
      <c r="H44" s="14">
        <f>H32+H34+H38+H39</f>
        <v>7971.6281771111535</v>
      </c>
      <c r="I44" s="4"/>
      <c r="J44" s="4"/>
      <c r="K44" s="4"/>
      <c r="L44" s="4"/>
    </row>
    <row r="45" spans="2:12" ht="16.5" thickTop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5">
      <c r="B46" s="4" t="s">
        <v>156</v>
      </c>
      <c r="C46" s="4"/>
      <c r="D46" s="7">
        <v>0.5</v>
      </c>
      <c r="E46" s="7">
        <v>1.5</v>
      </c>
      <c r="F46" s="7">
        <v>2.5</v>
      </c>
      <c r="G46" s="7">
        <v>3.5</v>
      </c>
      <c r="H46" s="7">
        <v>4.5</v>
      </c>
      <c r="I46" s="4"/>
      <c r="J46" s="4"/>
      <c r="K46" s="4"/>
      <c r="L46" s="4"/>
    </row>
    <row r="47" spans="2:12" x14ac:dyDescent="0.25">
      <c r="B47" s="4" t="s">
        <v>157</v>
      </c>
      <c r="C47" s="4"/>
      <c r="D47" s="42">
        <f>1/(1+$D$24)^D46</f>
        <v>0.94391524801726279</v>
      </c>
      <c r="E47" s="42">
        <f>1/(1+$D$24)^E46</f>
        <v>0.84100582771269461</v>
      </c>
      <c r="F47" s="42">
        <f>1/(1+$D$24)^F46</f>
        <v>0.74931600451673097</v>
      </c>
      <c r="G47" s="42">
        <f>1/(1+$D$24)^G46</f>
        <v>0.66762257302303618</v>
      </c>
      <c r="H47" s="42">
        <f>1/(1+$D$24)^H46</f>
        <v>0.59483568657707375</v>
      </c>
      <c r="I47" s="4"/>
      <c r="J47" s="4"/>
      <c r="K47" s="4"/>
      <c r="L47" s="4"/>
    </row>
    <row r="48" spans="2:12" x14ac:dyDescent="0.25">
      <c r="B48" s="4" t="s">
        <v>158</v>
      </c>
      <c r="C48" s="4"/>
      <c r="D48" s="5">
        <f>D44*D47</f>
        <v>6088.0349939956277</v>
      </c>
      <c r="E48" s="5">
        <f>E44*E47</f>
        <v>5815.9774190733078</v>
      </c>
      <c r="F48" s="5">
        <f>F44*F47</f>
        <v>5418.1172253454097</v>
      </c>
      <c r="G48" s="5">
        <f>G44*G47</f>
        <v>5109.4117361866347</v>
      </c>
      <c r="H48" s="5">
        <f>H44*H47</f>
        <v>4741.8089198690595</v>
      </c>
      <c r="I48" s="4"/>
      <c r="J48" s="4"/>
      <c r="K48" s="4"/>
      <c r="L48" s="4"/>
    </row>
    <row r="49" spans="2:12" ht="16.5" thickBot="1" x14ac:dyDescent="0.3">
      <c r="B49" s="13" t="s">
        <v>159</v>
      </c>
      <c r="C49" s="13"/>
      <c r="D49" s="14">
        <f>SUM(D48:H48)</f>
        <v>27173.350294470038</v>
      </c>
      <c r="E49" s="13"/>
      <c r="F49" s="13"/>
      <c r="G49" s="13"/>
      <c r="H49" s="13"/>
      <c r="I49" s="4"/>
      <c r="J49" s="4"/>
      <c r="K49" s="4"/>
      <c r="L49" s="4"/>
    </row>
    <row r="50" spans="2:12" ht="16.5" thickTop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25">
      <c r="B51" s="72" t="s">
        <v>160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2:12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x14ac:dyDescent="0.25">
      <c r="B53" s="4" t="s">
        <v>161</v>
      </c>
      <c r="C53" s="4"/>
      <c r="D53" s="8">
        <v>3.5000000000000003E-2</v>
      </c>
      <c r="E53" s="4"/>
      <c r="F53" s="4"/>
      <c r="G53" s="4"/>
      <c r="H53" s="4"/>
      <c r="I53" s="4"/>
      <c r="J53" s="4"/>
      <c r="K53" s="4"/>
      <c r="L53" s="4"/>
    </row>
    <row r="54" spans="2:12" x14ac:dyDescent="0.25">
      <c r="B54" s="4" t="s">
        <v>162</v>
      </c>
      <c r="C54" s="4"/>
      <c r="D54" s="47">
        <v>7.5</v>
      </c>
      <c r="E54" s="4"/>
      <c r="F54" s="4"/>
      <c r="G54" s="4"/>
      <c r="H54" s="4"/>
      <c r="I54" s="4"/>
      <c r="J54" s="4"/>
      <c r="K54" s="4"/>
      <c r="L54" s="4"/>
    </row>
    <row r="55" spans="2:12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3" t="s">
        <v>163</v>
      </c>
      <c r="C56" s="4"/>
      <c r="D56" s="5">
        <f>H44</f>
        <v>7971.6281771111535</v>
      </c>
      <c r="E56" s="4"/>
      <c r="F56" s="4"/>
      <c r="G56" s="4"/>
      <c r="H56" s="4"/>
      <c r="I56" s="4"/>
      <c r="J56" s="4"/>
      <c r="K56" s="4"/>
      <c r="L56" s="4"/>
    </row>
    <row r="57" spans="2:12" x14ac:dyDescent="0.25">
      <c r="B57" s="53" t="s">
        <v>164</v>
      </c>
      <c r="C57" s="4"/>
      <c r="D57" s="5">
        <f>H30+H34</f>
        <v>11568.520919309014</v>
      </c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x14ac:dyDescent="0.25">
      <c r="B59" s="73" t="s">
        <v>165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</row>
    <row r="60" spans="2:12" x14ac:dyDescent="0.25">
      <c r="B60" s="3" t="s">
        <v>166</v>
      </c>
      <c r="C60" s="4"/>
      <c r="D60" s="5">
        <f>D56*(1+D53)/(D24-D53)</f>
        <v>94439.010047735341</v>
      </c>
      <c r="E60" s="4"/>
      <c r="F60" s="4"/>
      <c r="G60" s="4"/>
      <c r="H60" s="4"/>
      <c r="I60" s="4"/>
      <c r="J60" s="4"/>
      <c r="K60" s="4"/>
      <c r="L60" s="4"/>
    </row>
    <row r="61" spans="2:12" x14ac:dyDescent="0.25">
      <c r="B61" s="4" t="s">
        <v>167</v>
      </c>
      <c r="C61" s="4"/>
      <c r="D61" s="5">
        <f>D60*(1+D24)^0.5</f>
        <v>100050.30668389858</v>
      </c>
      <c r="E61" s="4"/>
      <c r="F61" s="4"/>
      <c r="G61" s="4"/>
      <c r="H61" s="4"/>
      <c r="I61" s="4"/>
      <c r="J61" s="4"/>
      <c r="K61" s="4"/>
      <c r="L61" s="4"/>
    </row>
    <row r="62" spans="2:12" x14ac:dyDescent="0.25">
      <c r="B62" s="3" t="s">
        <v>168</v>
      </c>
      <c r="C62" s="4"/>
      <c r="D62" s="5">
        <f>D61/(1+D24)^5</f>
        <v>56175.69338140382</v>
      </c>
      <c r="E62" s="4"/>
      <c r="F62" s="4"/>
      <c r="G62" s="4"/>
      <c r="H62" s="4"/>
      <c r="I62" s="4"/>
      <c r="J62" s="4"/>
      <c r="K62" s="4"/>
      <c r="L62" s="4"/>
    </row>
    <row r="63" spans="2:12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x14ac:dyDescent="0.25">
      <c r="B64" s="73" t="s">
        <v>169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2:12" x14ac:dyDescent="0.25">
      <c r="B65" s="3" t="s">
        <v>170</v>
      </c>
      <c r="C65" s="4"/>
      <c r="D65" s="5">
        <f>D57*D54</f>
        <v>86763.906894817599</v>
      </c>
      <c r="E65" s="4"/>
      <c r="F65" s="4"/>
      <c r="G65" s="4"/>
      <c r="H65" s="4"/>
      <c r="I65" s="4"/>
      <c r="J65" s="4"/>
      <c r="K65" s="4"/>
      <c r="L65" s="4"/>
    </row>
    <row r="66" spans="2:12" x14ac:dyDescent="0.25">
      <c r="B66" s="3" t="s">
        <v>171</v>
      </c>
      <c r="C66" s="4"/>
      <c r="D66" s="5">
        <f>D65/(1+D24)^5</f>
        <v>48715.71904017296</v>
      </c>
      <c r="E66" s="4"/>
      <c r="F66" s="4"/>
      <c r="G66" s="4"/>
      <c r="H66" s="4"/>
      <c r="I66" s="4"/>
      <c r="J66" s="4"/>
      <c r="K66" s="4"/>
      <c r="L66" s="4"/>
    </row>
    <row r="67" spans="2:12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x14ac:dyDescent="0.2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2:12" x14ac:dyDescent="0.25">
      <c r="B69" s="81"/>
      <c r="C69" s="81"/>
      <c r="D69" s="82"/>
      <c r="E69" s="81"/>
      <c r="F69" s="81"/>
      <c r="G69" s="81"/>
      <c r="H69" s="81"/>
      <c r="I69" s="81"/>
      <c r="J69" s="81"/>
      <c r="K69" s="81"/>
      <c r="L69" s="81"/>
    </row>
    <row r="70" spans="2:12" x14ac:dyDescent="0.25">
      <c r="B70" s="4"/>
      <c r="C70" s="4"/>
      <c r="D70" s="6"/>
      <c r="E70" s="4"/>
      <c r="F70" s="4"/>
      <c r="G70" s="4"/>
      <c r="H70" s="4"/>
      <c r="I70" s="4"/>
      <c r="J70" s="4"/>
      <c r="K70" s="4"/>
      <c r="L70" s="4"/>
    </row>
    <row r="71" spans="2:12" x14ac:dyDescent="0.25">
      <c r="B71" s="4"/>
      <c r="C71" s="4"/>
      <c r="D71" s="6"/>
      <c r="E71" s="4"/>
      <c r="F71" s="4"/>
      <c r="G71" s="4"/>
      <c r="H71" s="4"/>
      <c r="I71" s="4"/>
      <c r="J71" s="4"/>
      <c r="K71" s="4"/>
      <c r="L71" s="4"/>
    </row>
    <row r="72" spans="2:12" x14ac:dyDescent="0.25">
      <c r="B72" s="4"/>
      <c r="C72" s="4"/>
      <c r="D72" s="6"/>
      <c r="E72" s="4"/>
      <c r="F72" s="4"/>
      <c r="G72" s="4"/>
      <c r="H72" s="4"/>
      <c r="I72" s="4"/>
      <c r="J72" s="4"/>
      <c r="K72" s="4"/>
      <c r="L72" s="4"/>
    </row>
    <row r="73" spans="2:12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x14ac:dyDescent="0.25">
      <c r="B74" s="83" t="s">
        <v>195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2:12" x14ac:dyDescent="0.25">
      <c r="B75" s="4"/>
      <c r="C75" s="4"/>
      <c r="D75" s="84" t="s">
        <v>172</v>
      </c>
      <c r="E75" s="84" t="s">
        <v>173</v>
      </c>
      <c r="F75" s="4"/>
      <c r="G75" s="4"/>
      <c r="H75" s="4"/>
      <c r="I75" s="4"/>
      <c r="J75" s="4"/>
      <c r="K75" s="4"/>
      <c r="L75" s="4"/>
    </row>
    <row r="76" spans="2:12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2:12" x14ac:dyDescent="0.25">
      <c r="B77" s="4" t="s">
        <v>174</v>
      </c>
      <c r="C77" s="4"/>
      <c r="D77" s="5">
        <f>D49</f>
        <v>27173.350294470038</v>
      </c>
      <c r="E77" s="5">
        <f>D49</f>
        <v>27173.350294470038</v>
      </c>
      <c r="F77" s="4"/>
      <c r="G77" s="4"/>
      <c r="H77" s="4"/>
      <c r="I77" s="4"/>
      <c r="J77" s="4"/>
      <c r="K77" s="4"/>
      <c r="L77" s="4"/>
    </row>
    <row r="78" spans="2:12" x14ac:dyDescent="0.25">
      <c r="B78" s="4" t="s">
        <v>175</v>
      </c>
      <c r="C78" s="4"/>
      <c r="D78" s="5">
        <f>D62</f>
        <v>56175.69338140382</v>
      </c>
      <c r="E78" s="5">
        <f>D66</f>
        <v>48715.71904017296</v>
      </c>
      <c r="F78" s="4"/>
      <c r="G78" s="4"/>
      <c r="H78" s="4"/>
      <c r="I78" s="4"/>
      <c r="J78" s="4"/>
      <c r="K78" s="4"/>
      <c r="L78" s="4"/>
    </row>
    <row r="79" spans="2:12" x14ac:dyDescent="0.25">
      <c r="B79" s="11" t="s">
        <v>176</v>
      </c>
      <c r="C79" s="11"/>
      <c r="D79" s="12">
        <f>D77+D78</f>
        <v>83349.043675873865</v>
      </c>
      <c r="E79" s="12">
        <f>E77+E78</f>
        <v>75889.069334642991</v>
      </c>
      <c r="F79" s="4"/>
      <c r="G79" s="4"/>
      <c r="H79" s="4"/>
      <c r="I79" s="4"/>
      <c r="J79" s="4"/>
      <c r="K79" s="4"/>
      <c r="L79" s="4"/>
    </row>
    <row r="80" spans="2:12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x14ac:dyDescent="0.2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 x14ac:dyDescent="0.25">
      <c r="B82" s="4" t="s">
        <v>177</v>
      </c>
      <c r="C82" s="4"/>
      <c r="D82" s="5">
        <f>'Balance Sheet'!E18</f>
        <v>4147</v>
      </c>
      <c r="E82" s="5">
        <f>'Balance Sheet'!E18</f>
        <v>4147</v>
      </c>
      <c r="F82" s="4"/>
      <c r="G82" s="4"/>
      <c r="H82" s="4"/>
      <c r="I82" s="4"/>
      <c r="J82" s="4"/>
      <c r="K82" s="4"/>
      <c r="L82" s="4"/>
    </row>
    <row r="83" spans="2:12" x14ac:dyDescent="0.25">
      <c r="B83" s="4" t="s">
        <v>178</v>
      </c>
      <c r="C83" s="4"/>
      <c r="D83" s="5">
        <f>-('Balance Sheet'!E31+'Balance Sheet'!E37)</f>
        <v>-8686</v>
      </c>
      <c r="E83" s="5">
        <f>-('Balance Sheet'!E31+'Balance Sheet'!E37)</f>
        <v>-8686</v>
      </c>
      <c r="F83" s="4"/>
      <c r="G83" s="4"/>
      <c r="H83" s="4"/>
      <c r="I83" s="4"/>
      <c r="J83" s="4"/>
      <c r="K83" s="4"/>
      <c r="L83" s="4"/>
    </row>
    <row r="84" spans="2:12" x14ac:dyDescent="0.25">
      <c r="B84" s="4" t="s">
        <v>179</v>
      </c>
      <c r="C84" s="4"/>
      <c r="D84" s="5">
        <f>-'Balance Sheet'!E27</f>
        <v>-988</v>
      </c>
      <c r="E84" s="5">
        <f>-'Balance Sheet'!E27</f>
        <v>-988</v>
      </c>
      <c r="F84" s="4"/>
      <c r="G84" s="4"/>
      <c r="H84" s="4"/>
      <c r="I84" s="4"/>
      <c r="J84" s="4"/>
      <c r="K84" s="4"/>
      <c r="L84" s="4"/>
    </row>
    <row r="85" spans="2:12" x14ac:dyDescent="0.25">
      <c r="B85" s="4" t="s">
        <v>180</v>
      </c>
      <c r="C85" s="4"/>
      <c r="D85" s="5">
        <f>-'Balance Sheet'!E32</f>
        <v>-1604</v>
      </c>
      <c r="E85" s="5">
        <f>-'Balance Sheet'!E32</f>
        <v>-1604</v>
      </c>
      <c r="F85" s="4"/>
      <c r="G85" s="4"/>
      <c r="H85" s="4"/>
      <c r="I85" s="4"/>
      <c r="J85" s="4"/>
      <c r="K85" s="4"/>
      <c r="L85" s="4"/>
    </row>
    <row r="86" spans="2:12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6.5" thickBot="1" x14ac:dyDescent="0.3">
      <c r="B87" s="13" t="s">
        <v>181</v>
      </c>
      <c r="C87" s="13"/>
      <c r="D87" s="14">
        <f>D79+D82+D83+D84+D85</f>
        <v>76218.043675873865</v>
      </c>
      <c r="E87" s="14">
        <f>E79+E82+E83+E84+E85</f>
        <v>68758.069334642991</v>
      </c>
      <c r="F87" s="4"/>
      <c r="G87" s="4"/>
      <c r="H87" s="4"/>
      <c r="I87" s="4"/>
      <c r="J87" s="4"/>
      <c r="K87" s="4"/>
      <c r="L87" s="4"/>
    </row>
    <row r="88" spans="2:12" ht="16.5" thickTop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2:12" x14ac:dyDescent="0.25">
      <c r="B89" s="4" t="s">
        <v>182</v>
      </c>
      <c r="C89" s="4"/>
      <c r="D89" s="9">
        <v>265.83199999999999</v>
      </c>
      <c r="E89" s="9">
        <v>265.83199999999999</v>
      </c>
      <c r="F89" s="4"/>
      <c r="G89" s="4"/>
      <c r="H89" s="4"/>
      <c r="I89" s="4"/>
      <c r="J89" s="4"/>
      <c r="K89" s="4"/>
      <c r="L89" s="4"/>
    </row>
    <row r="90" spans="2:12" x14ac:dyDescent="0.25">
      <c r="B90" s="40" t="s">
        <v>183</v>
      </c>
      <c r="C90" s="40"/>
      <c r="D90" s="85">
        <f>D87/D89</f>
        <v>286.71508199115931</v>
      </c>
      <c r="E90" s="85">
        <f>E87/E89</f>
        <v>258.65234183485433</v>
      </c>
      <c r="F90" s="4"/>
      <c r="G90" s="4"/>
      <c r="H90" s="4"/>
      <c r="I90" s="4"/>
      <c r="J90" s="4"/>
      <c r="K90" s="4"/>
      <c r="L90" s="4"/>
    </row>
    <row r="91" spans="2:12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2:12" x14ac:dyDescent="0.25">
      <c r="B92" s="4" t="s">
        <v>184</v>
      </c>
      <c r="C92" s="4"/>
      <c r="D92" s="48">
        <v>156</v>
      </c>
      <c r="E92" s="48">
        <v>156</v>
      </c>
      <c r="F92" s="4"/>
      <c r="G92" s="4"/>
      <c r="H92" s="4"/>
      <c r="I92" s="4"/>
      <c r="J92" s="4"/>
      <c r="K92" s="4"/>
      <c r="L92" s="4"/>
    </row>
    <row r="93" spans="2:12" x14ac:dyDescent="0.25">
      <c r="B93" s="3" t="s">
        <v>185</v>
      </c>
      <c r="C93" s="3"/>
      <c r="D93" s="41">
        <f>D90/D92-1</f>
        <v>0.83791719225102113</v>
      </c>
      <c r="E93" s="41">
        <f>E90/E92-1</f>
        <v>0.65802783227470729</v>
      </c>
      <c r="F93" s="4"/>
      <c r="G93" s="4"/>
      <c r="H93" s="4"/>
      <c r="I93" s="4"/>
      <c r="J93" s="4"/>
      <c r="K93" s="4"/>
      <c r="L93" s="4"/>
    </row>
    <row r="94" spans="2:12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12" x14ac:dyDescent="0.25">
      <c r="B95" s="72" t="s">
        <v>186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2:12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x14ac:dyDescent="0.25">
      <c r="B97" s="86" t="s">
        <v>187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</row>
    <row r="98" spans="2:12" x14ac:dyDescent="0.25">
      <c r="B98" s="64" t="s">
        <v>194</v>
      </c>
      <c r="C98" s="65"/>
      <c r="D98" s="87">
        <v>2.5000000000000001E-2</v>
      </c>
      <c r="E98" s="87">
        <v>0.03</v>
      </c>
      <c r="F98" s="87">
        <v>3.5000000000000003E-2</v>
      </c>
      <c r="G98" s="87">
        <v>0.04</v>
      </c>
      <c r="H98" s="87">
        <v>4.4999999999999998E-2</v>
      </c>
      <c r="I98" s="87">
        <v>0.05</v>
      </c>
      <c r="J98" s="87">
        <v>5.5E-2</v>
      </c>
      <c r="K98" s="87">
        <v>0.06</v>
      </c>
      <c r="L98" s="87">
        <v>6.5000000000000002E-2</v>
      </c>
    </row>
    <row r="99" spans="2:12" x14ac:dyDescent="0.25">
      <c r="B99" s="88">
        <v>0.09</v>
      </c>
      <c r="C99" s="89"/>
      <c r="D99" s="50">
        <f>($D$44/(1+$B$99)^0.5+$E$44/(1+$B$99)^1.5+$F$44/(1+$B$99)^2.5+$G$44/(1+$B$99)^3.5+$H$44/(1+$B$99)^4.5+($H$44*(1+D$98)/($B$99-D$98)*(1+$B$99)^0.5)/(1+$B$99)^5+$D$82+$D$83+$D$84+$D$85)/$D$89</f>
        <v>403.71520965806587</v>
      </c>
      <c r="E99" s="50">
        <f>($D$44/(1+$B$99)^0.5+$E$44/(1+$B$99)^1.5+$F$44/(1+$B$99)^2.5+$G$44/(1+$B$99)^3.5+$H$44/(1+$B$99)^4.5+($H$44*(1+E$98)/($B$99-E$98)*(1+$B$99)^0.5)/(1+$B$99)^5+$D$82+$D$83+$D$84+$D$85)/$D$89</f>
        <v>432.15015706848362</v>
      </c>
      <c r="F99" s="50">
        <f>($D$44/(1+$B$99)^0.5+$E$44/(1+$B$99)^1.5+$F$44/(1+$B$99)^2.5+$G$44/(1+$B$99)^3.5+$H$44/(1+$B$99)^4.5+($H$44*(1+F$98)/($B$99-F$98)*(1+$B$99)^0.5)/(1+$B$99)^5+$D$82+$D$83+$D$84+$D$85)/$D$89</f>
        <v>465.75509491715911</v>
      </c>
      <c r="G99" s="50">
        <f>($D$44/(1+$B$99)^0.5+$E$44/(1+$B$99)^1.5+$F$44/(1+$B$99)^2.5+$G$44/(1+$B$99)^3.5+$H$44/(1+$B$99)^4.5+($H$44*(1+G$98)/($B$99-G$98)*(1+$B$99)^0.5)/(1+$B$99)^5+$D$82+$D$83+$D$84+$D$85)/$D$89</f>
        <v>506.08102033556952</v>
      </c>
      <c r="H99" s="50">
        <f>($D$44/(1+$B$99)^0.5+$E$44/(1+$B$99)^1.5+$F$44/(1+$B$99)^2.5+$G$44/(1+$B$99)^3.5+$H$44/(1+$B$99)^4.5+($H$44*(1+H$98)/($B$99-H$98)*(1+$B$99)^0.5)/(1+$B$99)^5+$D$82+$D$83+$D$84+$D$85)/$D$89</f>
        <v>555.36826251362675</v>
      </c>
      <c r="I99" s="50">
        <f>($D$44/(1+$B$99)^0.5+$E$44/(1+$B$99)^1.5+$F$44/(1+$B$99)^2.5+$G$44/(1+$B$99)^3.5+$H$44/(1+$B$99)^4.5+($H$44*(1+I$98)/($B$99-I$98)*(1+$B$99)^0.5)/(1+$B$99)^5+$D$82+$D$83+$D$84+$D$85)/$D$89</f>
        <v>616.97731523619848</v>
      </c>
      <c r="J99" s="50">
        <f>($D$44/(1+$B$99)^0.5+$E$44/(1+$B$99)^1.5+$F$44/(1+$B$99)^2.5+$G$44/(1+$B$99)^3.5+$H$44/(1+$B$99)^4.5+($H$44*(1+J$98)/($B$99-J$98)*(1+$B$99)^0.5)/(1+$B$99)^5+$D$82+$D$83+$D$84+$D$85)/$D$89</f>
        <v>696.18895445093335</v>
      </c>
      <c r="K99" s="50">
        <f>($D$44/(1+$B$99)^0.5+$E$44/(1+$B$99)^1.5+$F$44/(1+$B$99)^2.5+$G$44/(1+$B$99)^3.5+$H$44/(1+$B$99)^4.5+($H$44*(1+K$98)/($B$99-K$98)*(1+$B$99)^0.5)/(1+$B$99)^5+$D$82+$D$83+$D$84+$D$85)/$D$89</f>
        <v>801.80447340391345</v>
      </c>
      <c r="L99" s="50">
        <f>($D$44/(1+$B$99)^0.5+$E$44/(1+$B$99)^1.5+$F$44/(1+$B$99)^2.5+$G$44/(1+$B$99)^3.5+$H$44/(1+$B$99)^4.5+($H$44*(1+L$98)/($B$99-L$98)*(1+$B$99)^0.5)/(1+$B$99)^5+$D$82+$D$83+$D$84+$D$85)/$D$89</f>
        <v>949.66619993808513</v>
      </c>
    </row>
    <row r="100" spans="2:12" x14ac:dyDescent="0.25">
      <c r="B100" s="88">
        <v>0.1</v>
      </c>
      <c r="C100" s="4"/>
      <c r="D100" s="50">
        <f>($D$44/(1+$B$100)^0.5+$E$44/(1+$B$100)^1.5+$F$44/(1+$B$100)^2.5+$G$44/(1+$B$100)^3.5+$H$44/(1+$B$100)^4.5+($H$44*(1+D$98)/($B$100-D$98)*(1+$B$100)^0.5)/(1+$B$100)^5+$D$82+$D$83+$D$84+$D$85)/$D$89</f>
        <v>347.33462947349653</v>
      </c>
      <c r="E100" s="50">
        <f>($D$44/(1+$B$100)^0.5+$E$44/(1+$B$100)^1.5+$F$44/(1+$B$100)^2.5+$G$44/(1+$B$100)^3.5+$H$44/(1+$B$100)^4.5+($H$44*(1+E$98)/($B$100-E$98)*(1+$B$100)^0.5)/(1+$B$100)^5+$D$82+$D$83+$D$84+$D$85)/$D$89</f>
        <v>367.79323731663465</v>
      </c>
      <c r="F100" s="50">
        <f>($D$44/(1+$B$100)^0.5+$E$44/(1+$B$100)^1.5+$F$44/(1+$B$100)^2.5+$G$44/(1+$B$100)^3.5+$H$44/(1+$B$100)^4.5+($H$44*(1+F$98)/($B$100-F$98)*(1+$B$100)^0.5)/(1+$B$100)^5+$D$82+$D$83+$D$84+$D$85)/$D$89</f>
        <v>391.39932328948618</v>
      </c>
      <c r="G100" s="50">
        <f>($D$44/(1+$B$100)^0.5+$E$44/(1+$B$100)^1.5+$F$44/(1+$B$100)^2.5+$G$44/(1+$B$100)^3.5+$H$44/(1+$B$100)^4.5+($H$44*(1+G$98)/($B$100-G$98)*(1+$B$100)^0.5)/(1+$B$100)^5+$D$82+$D$83+$D$84+$D$85)/$D$89</f>
        <v>418.9397569244797</v>
      </c>
      <c r="H100" s="50">
        <f>($D$44/(1+$B$100)^0.5+$E$44/(1+$B$100)^1.5+$F$44/(1+$B$100)^2.5+$G$44/(1+$B$100)^3.5+$H$44/(1+$B$100)^4.5+($H$44*(1+H$98)/($B$100-H$98)*(1+$B$100)^0.5)/(1+$B$100)^5+$D$82+$D$83+$D$84+$D$85)/$D$89</f>
        <v>451.48754212947205</v>
      </c>
      <c r="I100" s="50">
        <f>($D$44/(1+$B$100)^0.5+$E$44/(1+$B$100)^1.5+$F$44/(1+$B$100)^2.5+$G$44/(1+$B$100)^3.5+$H$44/(1+$B$100)^4.5+($H$44*(1+I$98)/($B$100-I$98)*(1+$B$100)^0.5)/(1+$B$100)^5+$D$82+$D$83+$D$84+$D$85)/$D$89</f>
        <v>490.54488437546291</v>
      </c>
      <c r="J100" s="50">
        <f>($D$44/(1+$B$100)^0.5+$E$44/(1+$B$100)^1.5+$F$44/(1+$B$100)^2.5+$G$44/(1+$B$100)^3.5+$H$44/(1+$B$100)^4.5+($H$44*(1+J$98)/($B$100-J$98)*(1+$B$100)^0.5)/(1+$B$100)^5+$D$82+$D$83+$D$84+$D$85)/$D$89</f>
        <v>538.28163600945163</v>
      </c>
      <c r="K100" s="50">
        <f>($D$44/(1+$B$100)^0.5+$E$44/(1+$B$100)^1.5+$F$44/(1+$B$100)^2.5+$G$44/(1+$B$100)^3.5+$H$44/(1+$B$100)^4.5+($H$44*(1+K$98)/($B$100-K$98)*(1+$B$100)^0.5)/(1+$B$100)^5+$D$82+$D$83+$D$84+$D$85)/$D$89</f>
        <v>597.9525755519378</v>
      </c>
      <c r="L100" s="50">
        <f>($D$44/(1+$B$100)^0.5+$E$44/(1+$B$100)^1.5+$F$44/(1+$B$100)^2.5+$G$44/(1+$B$100)^3.5+$H$44/(1+$B$100)^4.5+($H$44*(1+L$98)/($B$100-L$98)*(1+$B$100)^0.5)/(1+$B$100)^5+$D$82+$D$83+$D$84+$D$85)/$D$89</f>
        <v>674.67235496370529</v>
      </c>
    </row>
    <row r="101" spans="2:12" x14ac:dyDescent="0.25">
      <c r="B101" s="88">
        <v>0.11</v>
      </c>
      <c r="C101" s="4"/>
      <c r="D101" s="50">
        <f>($D$44/(1+$B$101)^0.5+$E$44/(1+$B$101)^1.5+$F$44/(1+$B$101)^2.5+$G$44/(1+$B$101)^3.5+$H$44/(1+$B$101)^4.5+($H$44*(1+D$98)/($B$101-D$98)*(1+$B$101)^0.5)/(1+$B$101)^5+$D$82+$D$83+$D$84+$D$85)/$D$89</f>
        <v>304.22771457992155</v>
      </c>
      <c r="E101" s="50">
        <f>($D$44/(1+$B$101)^0.5+$E$44/(1+$B$101)^1.5+$F$44/(1+$B$101)^2.5+$G$44/(1+$B$101)^3.5+$H$44/(1+$B$101)^4.5+($H$44*(1+E$98)/($B$101-E$98)*(1+$B$101)^0.5)/(1+$B$101)^5+$D$82+$D$83+$D$84+$D$85)/$D$89</f>
        <v>319.53049831706551</v>
      </c>
      <c r="F101" s="50">
        <f>($D$44/(1+$B$101)^0.5+$E$44/(1+$B$101)^1.5+$F$44/(1+$B$101)^2.5+$G$44/(1+$B$101)^3.5+$H$44/(1+$B$101)^4.5+($H$44*(1+F$98)/($B$101-F$98)*(1+$B$101)^0.5)/(1+$B$101)^5+$D$82+$D$83+$D$84+$D$85)/$D$89</f>
        <v>336.87365321916207</v>
      </c>
      <c r="G101" s="50">
        <f>($D$44/(1+$B$101)^0.5+$E$44/(1+$B$101)^1.5+$F$44/(1+$B$101)^2.5+$G$44/(1+$B$101)^3.5+$H$44/(1+$B$101)^4.5+($H$44*(1+G$98)/($B$101-G$98)*(1+$B$101)^0.5)/(1+$B$101)^5+$D$82+$D$83+$D$84+$D$85)/$D$89</f>
        <v>356.69440167870084</v>
      </c>
      <c r="H101" s="50">
        <f>($D$44/(1+$B$101)^0.5+$E$44/(1+$B$101)^1.5+$F$44/(1+$B$101)^2.5+$G$44/(1+$B$101)^3.5+$H$44/(1+$B$101)^4.5+($H$44*(1+H$98)/($B$101-H$98)*(1+$B$101)^0.5)/(1+$B$101)^5+$D$82+$D$83+$D$84+$D$85)/$D$89</f>
        <v>379.56449605509187</v>
      </c>
      <c r="I101" s="50">
        <f>($D$44/(1+$B$101)^0.5+$E$44/(1+$B$101)^1.5+$F$44/(1+$B$101)^2.5+$G$44/(1+$B$101)^3.5+$H$44/(1+$B$101)^4.5+($H$44*(1+I$98)/($B$101-I$98)*(1+$B$101)^0.5)/(1+$B$101)^5+$D$82+$D$83+$D$84+$D$85)/$D$89</f>
        <v>406.24627282754813</v>
      </c>
      <c r="J101" s="50">
        <f>($D$44/(1+$B$101)^0.5+$E$44/(1+$B$101)^1.5+$F$44/(1+$B$101)^2.5+$G$44/(1+$B$101)^3.5+$H$44/(1+$B$101)^4.5+($H$44*(1+J$98)/($B$101-J$98)*(1+$B$101)^0.5)/(1+$B$101)^5+$D$82+$D$83+$D$84+$D$85)/$D$89</f>
        <v>437.77928174045076</v>
      </c>
      <c r="K101" s="50">
        <f>($D$44/(1+$B$101)^0.5+$E$44/(1+$B$101)^1.5+$F$44/(1+$B$101)^2.5+$G$44/(1+$B$101)^3.5+$H$44/(1+$B$101)^4.5+($H$44*(1+K$98)/($B$101-K$98)*(1+$B$101)^0.5)/(1+$B$101)^5+$D$82+$D$83+$D$84+$D$85)/$D$89</f>
        <v>475.61889243593419</v>
      </c>
      <c r="L101" s="50">
        <f>($D$44/(1+$B$101)^0.5+$E$44/(1+$B$101)^1.5+$F$44/(1+$B$101)^2.5+$G$44/(1+$B$101)^3.5+$H$44/(1+$B$101)^4.5+($H$44*(1+L$98)/($B$101-L$98)*(1+$B$101)^0.5)/(1+$B$101)^5+$D$82+$D$83+$D$84+$D$85)/$D$89</f>
        <v>521.86730550819141</v>
      </c>
    </row>
    <row r="102" spans="2:12" x14ac:dyDescent="0.25">
      <c r="B102" s="88">
        <v>0.12</v>
      </c>
      <c r="C102" s="4"/>
      <c r="D102" s="50">
        <f>($D$44/(1+$B$102)^0.5+$E$44/(1+$B$102)^1.5+$F$44/(1+$B$102)^2.5+$G$44/(1+$B$102)^3.5+$H$44/(1+$B$102)^4.5+($H$44*(1+D$98)/($B$102-D$98)*(1+$B$102)^0.5)/(1+$B$102)^5+$D$82+$D$83+$D$84+$D$85)/$D$89</f>
        <v>270.20234700309686</v>
      </c>
      <c r="E102" s="50">
        <f>($D$44/(1+$B$102)^0.5+$E$44/(1+$B$102)^1.5+$F$44/(1+$B$102)^2.5+$G$44/(1+$B$102)^3.5+$H$44/(1+$B$102)^4.5+($H$44*(1+E$98)/($B$102-E$98)*(1+$B$102)^0.5)/(1+$B$102)^5+$D$82+$D$83+$D$84+$D$85)/$D$89</f>
        <v>281.9968755296515</v>
      </c>
      <c r="F102" s="50">
        <f>($D$44/(1+$B$102)^0.5+$E$44/(1+$B$102)^1.5+$F$44/(1+$B$102)^2.5+$G$44/(1+$B$102)^3.5+$H$44/(1+$B$102)^4.5+($H$44*(1+F$98)/($B$102-F$98)*(1+$B$102)^0.5)/(1+$B$102)^5+$D$82+$D$83+$D$84+$D$85)/$D$89</f>
        <v>295.17899564756539</v>
      </c>
      <c r="G102" s="50">
        <f>($D$44/(1+$B$102)^0.5+$E$44/(1+$B$102)^1.5+$F$44/(1+$B$102)^2.5+$G$44/(1+$B$102)^3.5+$H$44/(1+$B$102)^4.5+($H$44*(1+G$98)/($B$102-G$98)*(1+$B$102)^0.5)/(1+$B$102)^5+$D$82+$D$83+$D$84+$D$85)/$D$89</f>
        <v>310.00888078021853</v>
      </c>
      <c r="H102" s="51">
        <f>($D$44/(1+$B$102)^0.5+$E$44/(1+$B$102)^1.5+$F$44/(1+$B$102)^2.5+$G$44/(1+$B$102)^3.5+$H$44/(1+$B$102)^4.5+($H$44*(1+H$98)/($B$102-H$98)*(1+$B$102)^0.5)/(1+$B$102)^5+$D$82+$D$83+$D$84+$D$85)/$D$89</f>
        <v>326.81608393055882</v>
      </c>
      <c r="I102" s="50">
        <f>($D$44/(1+$B$102)^0.5+$E$44/(1+$B$102)^1.5+$F$44/(1+$B$102)^2.5+$G$44/(1+$B$102)^3.5+$H$44/(1+$B$102)^4.5+($H$44*(1+I$98)/($B$102-I$98)*(1+$B$102)^0.5)/(1+$B$102)^5+$D$82+$D$83+$D$84+$D$85)/$D$89</f>
        <v>346.02431610237625</v>
      </c>
      <c r="J102" s="50">
        <f>($D$44/(1+$B$102)^0.5+$E$44/(1+$B$102)^1.5+$F$44/(1+$B$102)^2.5+$G$44/(1+$B$102)^3.5+$H$44/(1+$B$102)^4.5+($H$44*(1+J$98)/($B$102-J$98)*(1+$B$102)^0.5)/(1+$B$102)^5+$D$82+$D$83+$D$84+$D$85)/$D$89</f>
        <v>368.18766091601179</v>
      </c>
      <c r="K102" s="50">
        <f>($D$44/(1+$B$102)^0.5+$E$44/(1+$B$102)^1.5+$F$44/(1+$B$102)^2.5+$G$44/(1+$B$102)^3.5+$H$44/(1+$B$102)^4.5+($H$44*(1+K$98)/($B$102-K$98)*(1+$B$102)^0.5)/(1+$B$102)^5+$D$82+$D$83+$D$84+$D$85)/$D$89</f>
        <v>394.04489653192002</v>
      </c>
      <c r="L102" s="50">
        <f>($D$44/(1+$B$102)^0.5+$E$44/(1+$B$102)^1.5+$F$44/(1+$B$102)^2.5+$G$44/(1+$B$102)^3.5+$H$44/(1+$B$102)^4.5+($H$44*(1+L$98)/($B$102-L$98)*(1+$B$102)^0.5)/(1+$B$102)^5+$D$82+$D$83+$D$84+$D$85)/$D$89</f>
        <v>424.60344771435678</v>
      </c>
    </row>
    <row r="103" spans="2:12" x14ac:dyDescent="0.25">
      <c r="B103" s="88">
        <v>0.13</v>
      </c>
      <c r="C103" s="4"/>
      <c r="D103" s="50">
        <f>($D$44/(1+$B$103)^0.5+$E$44/(1+$B$103)^1.5+$F$44/(1+$B$103)^2.5+$G$44/(1+$B$103)^3.5+$H$44/(1+$B$103)^4.5+($H$44*(1+D$98)/($B$103-D$98)*(1+$B$103)^0.5)/(1+$B$103)^5+$D$82+$D$83+$D$84+$D$85)/$D$89</f>
        <v>242.66342799015953</v>
      </c>
      <c r="E103" s="50">
        <f>($D$44/(1+$B$103)^0.5+$E$44/(1+$B$103)^1.5+$F$44/(1+$B$103)^2.5+$G$44/(1+$B$103)^3.5+$H$44/(1+$B$103)^4.5+($H$44*(1+E$98)/($B$103-E$98)*(1+$B$103)^0.5)/(1+$B$103)^5+$D$82+$D$83+$D$84+$D$85)/$D$89</f>
        <v>251.97334753611659</v>
      </c>
      <c r="F103" s="50">
        <f>($D$44/(1+$B$103)^0.5+$E$44/(1+$B$103)^1.5+$F$44/(1+$B$103)^2.5+$G$44/(1+$B$103)^3.5+$H$44/(1+$B$103)^4.5+($H$44*(1+F$98)/($B$103-F$98)*(1+$B$103)^0.5)/(1+$B$103)^5+$D$82+$D$83+$D$84+$D$85)/$D$89</f>
        <v>262.26325861322704</v>
      </c>
      <c r="G103" s="50">
        <f>($D$44/(1+$B$103)^0.5+$E$44/(1+$B$103)^1.5+$F$44/(1+$B$103)^2.5+$G$44/(1+$B$103)^3.5+$H$44/(1+$B$103)^4.5+($H$44*(1+G$98)/($B$103-G$98)*(1+$B$103)^0.5)/(1+$B$103)^5+$D$82+$D$83+$D$84+$D$85)/$D$89</f>
        <v>273.69649314334964</v>
      </c>
      <c r="H103" s="50">
        <f>($D$44/(1+$B$103)^0.5+$E$44/(1+$B$103)^1.5+$F$44/(1+$B$103)^2.5+$G$44/(1+$B$103)^3.5+$H$44/(1+$B$103)^4.5+($H$44*(1+H$98)/($B$103-H$98)*(1+$B$103)^0.5)/(1+$B$103)^5+$D$82+$D$83+$D$84+$D$85)/$D$89</f>
        <v>286.47481408878087</v>
      </c>
      <c r="I103" s="50">
        <f>($D$44/(1+$B$103)^0.5+$E$44/(1+$B$103)^1.5+$F$44/(1+$B$103)^2.5+$G$44/(1+$B$103)^3.5+$H$44/(1+$B$103)^4.5+($H$44*(1+I$98)/($B$103-I$98)*(1+$B$103)^0.5)/(1+$B$103)^5+$D$82+$D$83+$D$84+$D$85)/$D$89</f>
        <v>300.85042515239093</v>
      </c>
      <c r="J103" s="50">
        <f>($D$44/(1+$B$103)^0.5+$E$44/(1+$B$103)^1.5+$F$44/(1+$B$103)^2.5+$G$44/(1+$B$103)^3.5+$H$44/(1+$B$103)^4.5+($H$44*(1+J$98)/($B$103-J$98)*(1+$B$103)^0.5)/(1+$B$103)^5+$D$82+$D$83+$D$84+$D$85)/$D$89</f>
        <v>317.14278435781569</v>
      </c>
      <c r="K103" s="50">
        <f>($D$44/(1+$B$103)^0.5+$E$44/(1+$B$103)^1.5+$F$44/(1+$B$103)^2.5+$G$44/(1+$B$103)^3.5+$H$44/(1+$B$103)^4.5+($H$44*(1+K$98)/($B$103-K$98)*(1+$B$103)^0.5)/(1+$B$103)^5+$D$82+$D$83+$D$84+$D$85)/$D$89</f>
        <v>335.76262344972986</v>
      </c>
      <c r="L103" s="50">
        <f>($D$44/(1+$B$103)^0.5+$E$44/(1+$B$103)^1.5+$F$44/(1+$B$103)^2.5+$G$44/(1+$B$103)^3.5+$H$44/(1+$B$103)^4.5+($H$44*(1+L$98)/($B$103-L$98)*(1+$B$103)^0.5)/(1+$B$103)^5+$D$82+$D$83+$D$84+$D$85)/$D$89</f>
        <v>357.24705317116906</v>
      </c>
    </row>
    <row r="104" spans="2:12" x14ac:dyDescent="0.25">
      <c r="B104" s="88">
        <v>0.14000000000000001</v>
      </c>
      <c r="C104" s="4"/>
      <c r="D104" s="50">
        <f>($D$44/(1+$B$104)^0.5+$E$44/(1+$B$104)^1.5+$F$44/(1+$B$104)^2.5+$G$44/(1+$B$104)^3.5+$H$44/(1+$B$104)^4.5+($H$44*(1+D$98)/($B$104-D$98)*(1+$B$104)^0.5)/(1+$B$104)^5+$D$82+$D$83+$D$84+$D$85)/$D$89</f>
        <v>219.9185205884904</v>
      </c>
      <c r="E104" s="50">
        <f>($D$44/(1+$B$104)^0.5+$E$44/(1+$B$104)^1.5+$F$44/(1+$B$104)^2.5+$G$44/(1+$B$104)^3.5+$H$44/(1+$B$104)^4.5+($H$44*(1+E$98)/($B$104-E$98)*(1+$B$104)^0.5)/(1+$B$104)^5+$D$82+$D$83+$D$84+$D$85)/$D$89</f>
        <v>227.41146091666127</v>
      </c>
      <c r="F104" s="50">
        <f>($D$44/(1+$B$104)^0.5+$E$44/(1+$B$104)^1.5+$F$44/(1+$B$104)^2.5+$G$44/(1+$B$104)^3.5+$H$44/(1+$B$104)^4.5+($H$44*(1+F$98)/($B$104-F$98)*(1+$B$104)^0.5)/(1+$B$104)^5+$D$82+$D$83+$D$84+$D$85)/$D$89</f>
        <v>235.61801460941976</v>
      </c>
      <c r="G104" s="50">
        <f>($D$44/(1+$B$104)^0.5+$E$44/(1+$B$104)^1.5+$F$44/(1+$B$104)^2.5+$G$44/(1+$B$104)^3.5+$H$44/(1+$B$104)^4.5+($H$44*(1+G$98)/($B$104-G$98)*(1+$B$104)^0.5)/(1+$B$104)^5+$D$82+$D$83+$D$84+$D$85)/$D$89</f>
        <v>244.64522367145409</v>
      </c>
      <c r="H104" s="50">
        <f>($D$44/(1+$B$104)^0.5+$E$44/(1+$B$104)^1.5+$F$44/(1+$B$104)^2.5+$G$44/(1+$B$104)^3.5+$H$44/(1+$B$104)^4.5+($H$44*(1+H$98)/($B$104-H$98)*(1+$B$104)^0.5)/(1+$B$104)^5+$D$82+$D$83+$D$84+$D$85)/$D$89</f>
        <v>254.6226652663342</v>
      </c>
      <c r="I104" s="50">
        <f>($D$44/(1+$B$104)^0.5+$E$44/(1+$B$104)^1.5+$F$44/(1+$B$104)^2.5+$G$44/(1+$B$104)^3.5+$H$44/(1+$B$104)^4.5+($H$44*(1+I$98)/($B$104-I$98)*(1+$B$104)^0.5)/(1+$B$104)^5+$D$82+$D$83+$D$84+$D$85)/$D$89</f>
        <v>265.70871148286767</v>
      </c>
      <c r="J104" s="50">
        <f>($D$44/(1+$B$104)^0.5+$E$44/(1+$B$104)^1.5+$F$44/(1+$B$104)^2.5+$G$44/(1+$B$104)^3.5+$H$44/(1+$B$104)^4.5+($H$44*(1+J$98)/($B$104-J$98)*(1+$B$104)^0.5)/(1+$B$104)^5+$D$82+$D$83+$D$84+$D$85)/$D$89</f>
        <v>278.09899843075794</v>
      </c>
      <c r="K104" s="50">
        <f>($D$44/(1+$B$104)^0.5+$E$44/(1+$B$104)^1.5+$F$44/(1+$B$104)^2.5+$G$44/(1+$B$104)^3.5+$H$44/(1+$B$104)^4.5+($H$44*(1+K$98)/($B$104-K$98)*(1+$B$104)^0.5)/(1+$B$104)^5+$D$82+$D$83+$D$84+$D$85)/$D$89</f>
        <v>292.03807124713461</v>
      </c>
      <c r="L104" s="50">
        <f>($D$44/(1+$B$104)^0.5+$E$44/(1+$B$104)^1.5+$F$44/(1+$B$104)^2.5+$G$44/(1+$B$104)^3.5+$H$44/(1+$B$104)^4.5+($H$44*(1+L$98)/($B$104-L$98)*(1+$B$104)^0.5)/(1+$B$104)^5+$D$82+$D$83+$D$84+$D$85)/$D$89</f>
        <v>307.83568710569466</v>
      </c>
    </row>
    <row r="105" spans="2:12" x14ac:dyDescent="0.25">
      <c r="B105" s="88">
        <v>0.15</v>
      </c>
      <c r="C105" s="4"/>
      <c r="D105" s="50">
        <f>($D$44/(1+$B$105)^0.5+$E$44/(1+$B$105)^1.5+$F$44/(1+$B$105)^2.5+$G$44/(1+$B$105)^3.5+$H$44/(1+$B$105)^4.5+($H$44*(1+D$98)/($B$105-D$98)*(1+$B$105)^0.5)/(1+$B$105)^5+$D$82+$D$83+$D$84+$D$85)/$D$89</f>
        <v>200.81678386601351</v>
      </c>
      <c r="E105" s="50">
        <f>($D$44/(1+$B$105)^0.5+$E$44/(1+$B$105)^1.5+$F$44/(1+$B$105)^2.5+$G$44/(1+$B$105)^3.5+$H$44/(1+$B$105)^4.5+($H$44*(1+E$98)/($B$105-E$98)*(1+$B$105)^0.5)/(1+$B$105)^5+$D$82+$D$83+$D$84+$D$85)/$D$89</f>
        <v>206.94559275053695</v>
      </c>
      <c r="F105" s="50">
        <f>($D$44/(1+$B$105)^0.5+$E$44/(1+$B$105)^1.5+$F$44/(1+$B$105)^2.5+$G$44/(1+$B$105)^3.5+$H$44/(1+$B$105)^4.5+($H$44*(1+F$98)/($B$105-F$98)*(1+$B$105)^0.5)/(1+$B$105)^5+$D$82+$D$83+$D$84+$D$85)/$D$89</f>
        <v>213.60734153806231</v>
      </c>
      <c r="G105" s="50">
        <f>($D$44/(1+$B$105)^0.5+$E$44/(1+$B$105)^1.5+$F$44/(1+$B$105)^2.5+$G$44/(1+$B$105)^3.5+$H$44/(1+$B$105)^4.5+($H$44*(1+G$98)/($B$105-G$98)*(1+$B$105)^0.5)/(1+$B$105)^5+$D$82+$D$83+$D$84+$D$85)/$D$89</f>
        <v>220.87470385172645</v>
      </c>
      <c r="H105" s="50">
        <f>($D$44/(1+$B$105)^0.5+$E$44/(1+$B$105)^1.5+$F$44/(1+$B$105)^2.5+$G$44/(1+$B$105)^3.5+$H$44/(1+$B$105)^4.5+($H$44*(1+H$98)/($B$105-H$98)*(1+$B$105)^0.5)/(1+$B$105)^5+$D$82+$D$83+$D$84+$D$85)/$D$89</f>
        <v>228.83419590954895</v>
      </c>
      <c r="I105" s="50">
        <f>($D$44/(1+$B$105)^0.5+$E$44/(1+$B$105)^1.5+$F$44/(1+$B$105)^2.5+$G$44/(1+$B$105)^3.5+$H$44/(1+$B$105)^4.5+($H$44*(1+I$98)/($B$105-I$98)*(1+$B$105)^0.5)/(1+$B$105)^5+$D$82+$D$83+$D$84+$D$85)/$D$89</f>
        <v>237.58963717315385</v>
      </c>
      <c r="J105" s="50">
        <f>($D$44/(1+$B$105)^0.5+$E$44/(1+$B$105)^1.5+$F$44/(1+$B$105)^2.5+$G$44/(1+$B$105)^3.5+$H$44/(1+$B$105)^4.5+($H$44*(1+J$98)/($B$105-J$98)*(1+$B$105)^0.5)/(1+$B$105)^5+$D$82+$D$83+$D$84+$D$85)/$D$89</f>
        <v>247.26670383292753</v>
      </c>
      <c r="K105" s="50">
        <f>($D$44/(1+$B$105)^0.5+$E$44/(1+$B$105)^1.5+$F$44/(1+$B$105)^2.5+$G$44/(1+$B$105)^3.5+$H$44/(1+$B$105)^4.5+($H$44*(1+K$98)/($B$105-K$98)*(1+$B$105)^0.5)/(1+$B$105)^5+$D$82+$D$83+$D$84+$D$85)/$D$89</f>
        <v>258.01900012156511</v>
      </c>
      <c r="L105" s="50">
        <f>($D$44/(1+$B$105)^0.5+$E$44/(1+$B$105)^1.5+$F$44/(1+$B$105)^2.5+$G$44/(1+$B$105)^3.5+$H$44/(1+$B$105)^4.5+($H$44*(1+L$98)/($B$105-L$98)*(1+$B$105)^0.5)/(1+$B$105)^5+$D$82+$D$83+$D$84+$D$85)/$D$89</f>
        <v>270.03627244415986</v>
      </c>
    </row>
    <row r="106" spans="2:12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2:12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2:12" x14ac:dyDescent="0.25">
      <c r="B108" s="86" t="s">
        <v>188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</row>
    <row r="109" spans="2:12" x14ac:dyDescent="0.25">
      <c r="B109" s="64" t="s">
        <v>193</v>
      </c>
      <c r="C109" s="65"/>
      <c r="D109" s="91">
        <v>3.5</v>
      </c>
      <c r="E109" s="91">
        <v>4</v>
      </c>
      <c r="F109" s="91">
        <v>4.5</v>
      </c>
      <c r="G109" s="91">
        <v>5</v>
      </c>
      <c r="H109" s="91">
        <v>5.5</v>
      </c>
      <c r="I109" s="91">
        <v>6</v>
      </c>
      <c r="J109" s="91">
        <v>6.5</v>
      </c>
      <c r="K109" s="91">
        <v>7</v>
      </c>
      <c r="L109" s="91">
        <v>7.5</v>
      </c>
    </row>
    <row r="110" spans="2:12" x14ac:dyDescent="0.25">
      <c r="B110" s="88">
        <v>0.09</v>
      </c>
      <c r="C110" s="4"/>
      <c r="D110" s="90">
        <f>($D$44/(1+$B$110)^0.5+$E$44/(1+$B$110)^1.5+$F$44/(1+$B$110)^2.5+$G$44/(1+$B$110)^3.5+$H$44/(1+$B$110)^4.5+($D$57*D$109)/(1+$B$110)^5+$D$82+$D$83+$D$84+$D$85)/$D$89</f>
        <v>181.83716002152954</v>
      </c>
      <c r="E110" s="90">
        <f>($D$44/(1+$B$110)^0.5+$E$44/(1+$B$110)^1.5+$F$44/(1+$B$110)^2.5+$G$44/(1+$B$110)^3.5+$H$44/(1+$B$110)^4.5+($D$57*E$109)/(1+$B$110)^5+$D$82+$D$83+$D$84+$D$85)/$D$89</f>
        <v>195.9790707743883</v>
      </c>
      <c r="F110" s="90">
        <f>($D$44/(1+$B$110)^0.5+$E$44/(1+$B$110)^1.5+$F$44/(1+$B$110)^2.5+$G$44/(1+$B$110)^3.5+$H$44/(1+$B$110)^4.5+($D$57*F$109)/(1+$B$110)^5+$D$82+$D$83+$D$84+$D$85)/$D$89</f>
        <v>210.1209815272471</v>
      </c>
      <c r="G110" s="90">
        <f>($D$44/(1+$B$110)^0.5+$E$44/(1+$B$110)^1.5+$F$44/(1+$B$110)^2.5+$G$44/(1+$B$110)^3.5+$H$44/(1+$B$110)^4.5+($D$57*G$109)/(1+$B$110)^5+$D$82+$D$83+$D$84+$D$85)/$D$89</f>
        <v>224.26289228010586</v>
      </c>
      <c r="H110" s="90">
        <f>($D$44/(1+$B$110)^0.5+$E$44/(1+$B$110)^1.5+$F$44/(1+$B$110)^2.5+$G$44/(1+$B$110)^3.5+$H$44/(1+$B$110)^4.5+($D$57*H$109)/(1+$B$110)^5+$D$82+$D$83+$D$84+$D$85)/$D$89</f>
        <v>238.40480303296468</v>
      </c>
      <c r="I110" s="90">
        <f>($D$44/(1+$B$110)^0.5+$E$44/(1+$B$110)^1.5+$F$44/(1+$B$110)^2.5+$G$44/(1+$B$110)^3.5+$H$44/(1+$B$110)^4.5+($D$57*I$109)/(1+$B$110)^5+$D$82+$D$83+$D$84+$D$85)/$D$89</f>
        <v>252.5467137858235</v>
      </c>
      <c r="J110" s="90">
        <f>($D$44/(1+$B$110)^0.5+$E$44/(1+$B$110)^1.5+$F$44/(1+$B$110)^2.5+$G$44/(1+$B$110)^3.5+$H$44/(1+$B$110)^4.5+($D$57*J$109)/(1+$B$110)^5+$D$82+$D$83+$D$84+$D$85)/$D$89</f>
        <v>266.68862453868229</v>
      </c>
      <c r="K110" s="90">
        <f>($D$44/(1+$B$110)^0.5+$E$44/(1+$B$110)^1.5+$F$44/(1+$B$110)^2.5+$G$44/(1+$B$110)^3.5+$H$44/(1+$B$110)^4.5+($D$57*K$109)/(1+$B$110)^5+$D$82+$D$83+$D$84+$D$85)/$D$89</f>
        <v>280.83053529154103</v>
      </c>
      <c r="L110" s="90">
        <f>($D$44/(1+$B$110)^0.5+$E$44/(1+$B$110)^1.5+$F$44/(1+$B$110)^2.5+$G$44/(1+$B$110)^3.5+$H$44/(1+$B$110)^4.5+($D$57*L$109)/(1+$B$110)^5+$D$82+$D$83+$D$84+$D$85)/$D$89</f>
        <v>294.97244604439982</v>
      </c>
    </row>
    <row r="111" spans="2:12" x14ac:dyDescent="0.25">
      <c r="B111" s="88">
        <v>0.1</v>
      </c>
      <c r="C111" s="4"/>
      <c r="D111" s="50">
        <f>($D$44/(1+$B$111)^0.5+$E$44/(1+$B$111)^1.5+$F$44/(1+$B$111)^2.5+$G$44/(1+$B$111)^3.5+$H$44/(1+$B$111)^4.5+($D$57*D$109)/(1+$B$111)^5+$D$82+$D$83+$D$84+$D$85)/$D$89</f>
        <v>175.01753951615925</v>
      </c>
      <c r="E111" s="50">
        <f>($D$44/(1+$B$111)^0.5+$E$44/(1+$B$111)^1.5+$F$44/(1+$B$111)^2.5+$G$44/(1+$B$111)^3.5+$H$44/(1+$B$111)^4.5+($D$57*E$109)/(1+$B$111)^5+$D$82+$D$83+$D$84+$D$85)/$D$89</f>
        <v>188.52821790524496</v>
      </c>
      <c r="F111" s="50">
        <f>($D$44/(1+$B$111)^0.5+$E$44/(1+$B$111)^1.5+$F$44/(1+$B$111)^2.5+$G$44/(1+$B$111)^3.5+$H$44/(1+$B$111)^4.5+($D$57*F$109)/(1+$B$111)^5+$D$82+$D$83+$D$84+$D$85)/$D$89</f>
        <v>202.03889629433064</v>
      </c>
      <c r="G111" s="50">
        <f>($D$44/(1+$B$111)^0.5+$E$44/(1+$B$111)^1.5+$F$44/(1+$B$111)^2.5+$G$44/(1+$B$111)^3.5+$H$44/(1+$B$111)^4.5+($D$57*G$109)/(1+$B$111)^5+$D$82+$D$83+$D$84+$D$85)/$D$89</f>
        <v>215.54957468341638</v>
      </c>
      <c r="H111" s="50">
        <f>($D$44/(1+$B$111)^0.5+$E$44/(1+$B$111)^1.5+$F$44/(1+$B$111)^2.5+$G$44/(1+$B$111)^3.5+$H$44/(1+$B$111)^4.5+($D$57*H$109)/(1+$B$111)^5+$D$82+$D$83+$D$84+$D$85)/$D$89</f>
        <v>229.06025307250206</v>
      </c>
      <c r="I111" s="50">
        <f>($D$44/(1+$B$111)^0.5+$E$44/(1+$B$111)^1.5+$F$44/(1+$B$111)^2.5+$G$44/(1+$B$111)^3.5+$H$44/(1+$B$111)^4.5+($D$57*I$109)/(1+$B$111)^5+$D$82+$D$83+$D$84+$D$85)/$D$89</f>
        <v>242.57093146158778</v>
      </c>
      <c r="J111" s="50">
        <f>($D$44/(1+$B$111)^0.5+$E$44/(1+$B$111)^1.5+$F$44/(1+$B$111)^2.5+$G$44/(1+$B$111)^3.5+$H$44/(1+$B$111)^4.5+($D$57*J$109)/(1+$B$111)^5+$D$82+$D$83+$D$84+$D$85)/$D$89</f>
        <v>256.08160985067349</v>
      </c>
      <c r="K111" s="50">
        <f>($D$44/(1+$B$111)^0.5+$E$44/(1+$B$111)^1.5+$F$44/(1+$B$111)^2.5+$G$44/(1+$B$111)^3.5+$H$44/(1+$B$111)^4.5+($D$57*K$109)/(1+$B$111)^5+$D$82+$D$83+$D$84+$D$85)/$D$89</f>
        <v>269.59228823975917</v>
      </c>
      <c r="L111" s="50">
        <f>($D$44/(1+$B$111)^0.5+$E$44/(1+$B$111)^1.5+$F$44/(1+$B$111)^2.5+$G$44/(1+$B$111)^3.5+$H$44/(1+$B$111)^4.5+($D$57*L$109)/(1+$B$111)^5+$D$82+$D$83+$D$84+$D$85)/$D$89</f>
        <v>283.10296662884485</v>
      </c>
    </row>
    <row r="112" spans="2:12" x14ac:dyDescent="0.25">
      <c r="B112" s="88">
        <v>0.11</v>
      </c>
      <c r="C112" s="4"/>
      <c r="D112" s="50">
        <f>($D$44/(1+$B$112)^0.5+$E$44/(1+$B$112)^1.5+$F$44/(1+$B$112)^2.5+$G$44/(1+$B$112)^3.5+$H$44/(1+$B$112)^4.5+($D$57*D$109)/(1+$B$112)^5+$D$82+$D$83+$D$84+$D$85)/$D$89</f>
        <v>168.52322691837887</v>
      </c>
      <c r="E112" s="50">
        <f>($D$44/(1+$B$112)^0.5+$E$44/(1+$B$112)^1.5+$F$44/(1+$B$112)^2.5+$G$44/(1+$B$112)^3.5+$H$44/(1+$B$112)^4.5+($D$57*E$109)/(1+$B$112)^5+$D$82+$D$83+$D$84+$D$85)/$D$89</f>
        <v>181.43618341578542</v>
      </c>
      <c r="F112" s="50">
        <f>($D$44/(1+$B$112)^0.5+$E$44/(1+$B$112)^1.5+$F$44/(1+$B$112)^2.5+$G$44/(1+$B$112)^3.5+$H$44/(1+$B$112)^4.5+($D$57*F$109)/(1+$B$112)^5+$D$82+$D$83+$D$84+$D$85)/$D$89</f>
        <v>194.34913991319198</v>
      </c>
      <c r="G112" s="50">
        <f>($D$44/(1+$B$112)^0.5+$E$44/(1+$B$112)^1.5+$F$44/(1+$B$112)^2.5+$G$44/(1+$B$112)^3.5+$H$44/(1+$B$112)^4.5+($D$57*G$109)/(1+$B$112)^5+$D$82+$D$83+$D$84+$D$85)/$D$89</f>
        <v>207.26209641059847</v>
      </c>
      <c r="H112" s="50">
        <f>($D$44/(1+$B$112)^0.5+$E$44/(1+$B$112)^1.5+$F$44/(1+$B$112)^2.5+$G$44/(1+$B$112)^3.5+$H$44/(1+$B$112)^4.5+($D$57*H$109)/(1+$B$112)^5+$D$82+$D$83+$D$84+$D$85)/$D$89</f>
        <v>220.17505290800503</v>
      </c>
      <c r="I112" s="50">
        <f>($D$44/(1+$B$112)^0.5+$E$44/(1+$B$112)^1.5+$F$44/(1+$B$112)^2.5+$G$44/(1+$B$112)^3.5+$H$44/(1+$B$112)^4.5+($D$57*I$109)/(1+$B$112)^5+$D$82+$D$83+$D$84+$D$85)/$D$89</f>
        <v>233.08800940541158</v>
      </c>
      <c r="J112" s="50">
        <f>($D$44/(1+$B$112)^0.5+$E$44/(1+$B$112)^1.5+$F$44/(1+$B$112)^2.5+$G$44/(1+$B$112)^3.5+$H$44/(1+$B$112)^4.5+($D$57*J$109)/(1+$B$112)^5+$D$82+$D$83+$D$84+$D$85)/$D$89</f>
        <v>246.00096590281814</v>
      </c>
      <c r="K112" s="50">
        <f>($D$44/(1+$B$112)^0.5+$E$44/(1+$B$112)^1.5+$F$44/(1+$B$112)^2.5+$G$44/(1+$B$112)^3.5+$H$44/(1+$B$112)^4.5+($D$57*K$109)/(1+$B$112)^5+$D$82+$D$83+$D$84+$D$85)/$D$89</f>
        <v>258.91392240022469</v>
      </c>
      <c r="L112" s="50">
        <f>($D$44/(1+$B$112)^0.5+$E$44/(1+$B$112)^1.5+$F$44/(1+$B$112)^2.5+$G$44/(1+$B$112)^3.5+$H$44/(1+$B$112)^4.5+($D$57*L$109)/(1+$B$112)^5+$D$82+$D$83+$D$84+$D$85)/$D$89</f>
        <v>271.82687889763127</v>
      </c>
    </row>
    <row r="113" spans="2:12" x14ac:dyDescent="0.25">
      <c r="B113" s="88">
        <v>0.12</v>
      </c>
      <c r="C113" s="4"/>
      <c r="D113" s="50">
        <f>($D$44/(1+$B$113)^0.5+$E$44/(1+$B$113)^1.5+$F$44/(1+$B$113)^2.5+$G$44/(1+$B$113)^3.5+$H$44/(1+$B$113)^4.5+($D$57*D$109)/(1+$B$113)^5+$D$82+$D$83+$D$84+$D$85)/$D$89</f>
        <v>162.33536615562608</v>
      </c>
      <c r="E113" s="50">
        <f>($D$44/(1+$B$113)^0.5+$E$44/(1+$B$113)^1.5+$F$44/(1+$B$113)^2.5+$G$44/(1+$B$113)^3.5+$H$44/(1+$B$113)^4.5+($D$57*E$109)/(1+$B$113)^5+$D$82+$D$83+$D$84+$D$85)/$D$89</f>
        <v>174.68205400840216</v>
      </c>
      <c r="F113" s="50">
        <f>($D$44/(1+$B$113)^0.5+$E$44/(1+$B$113)^1.5+$F$44/(1+$B$113)^2.5+$G$44/(1+$B$113)^3.5+$H$44/(1+$B$113)^4.5+($D$57*F$109)/(1+$B$113)^5+$D$82+$D$83+$D$84+$D$85)/$D$89</f>
        <v>187.0287418611783</v>
      </c>
      <c r="G113" s="50">
        <f>($D$44/(1+$B$113)^0.5+$E$44/(1+$B$113)^1.5+$F$44/(1+$B$113)^2.5+$G$44/(1+$B$113)^3.5+$H$44/(1+$B$113)^4.5+($D$57*G$109)/(1+$B$113)^5+$D$82+$D$83+$D$84+$D$85)/$D$89</f>
        <v>199.37542971395436</v>
      </c>
      <c r="H113" s="51">
        <f>($D$44/(1+$B$113)^0.5+$E$44/(1+$B$113)^1.5+$F$44/(1+$B$113)^2.5+$G$44/(1+$B$113)^3.5+$H$44/(1+$B$113)^4.5+($D$57*H$109)/(1+$B$113)^5+$D$82+$D$83+$D$84+$D$85)/$D$89</f>
        <v>211.72211756673045</v>
      </c>
      <c r="I113" s="50">
        <f>($D$44/(1+$B$113)^0.5+$E$44/(1+$B$113)^1.5+$F$44/(1+$B$113)^2.5+$G$44/(1+$B$113)^3.5+$H$44/(1+$B$113)^4.5+($D$57*I$109)/(1+$B$113)^5+$D$82+$D$83+$D$84+$D$85)/$D$89</f>
        <v>224.06880541950656</v>
      </c>
      <c r="J113" s="50">
        <f>($D$44/(1+$B$113)^0.5+$E$44/(1+$B$113)^1.5+$F$44/(1+$B$113)^2.5+$G$44/(1+$B$113)^3.5+$H$44/(1+$B$113)^4.5+($D$57*J$109)/(1+$B$113)^5+$D$82+$D$83+$D$84+$D$85)/$D$89</f>
        <v>236.4154932722827</v>
      </c>
      <c r="K113" s="50">
        <f>($D$44/(1+$B$113)^0.5+$E$44/(1+$B$113)^1.5+$F$44/(1+$B$113)^2.5+$G$44/(1+$B$113)^3.5+$H$44/(1+$B$113)^4.5+($D$57*K$109)/(1+$B$113)^5+$D$82+$D$83+$D$84+$D$85)/$D$89</f>
        <v>248.76218112505879</v>
      </c>
      <c r="L113" s="50">
        <f>($D$44/(1+$B$113)^0.5+$E$44/(1+$B$113)^1.5+$F$44/(1+$B$113)^2.5+$G$44/(1+$B$113)^3.5+$H$44/(1+$B$113)^4.5+($D$57*L$109)/(1+$B$113)^5+$D$82+$D$83+$D$84+$D$85)/$D$89</f>
        <v>261.10886897783485</v>
      </c>
    </row>
    <row r="114" spans="2:12" x14ac:dyDescent="0.25">
      <c r="B114" s="88">
        <v>0.13</v>
      </c>
      <c r="C114" s="4"/>
      <c r="D114" s="50">
        <f>($D$44/(1+$B$114)^0.5+$E$44/(1+$B$114)^1.5+$F$44/(1+$B$114)^2.5+$G$44/(1+$B$114)^3.5+$H$44/(1+$B$114)^4.5+($D$57*D$109)/(1+$B$114)^5+$D$82+$D$83+$D$84+$D$85)/$D$89</f>
        <v>156.43636562094821</v>
      </c>
      <c r="E114" s="50">
        <f>($D$44/(1+$B$114)^0.5+$E$44/(1+$B$114)^1.5+$F$44/(1+$B$114)^2.5+$G$44/(1+$B$114)^3.5+$H$44/(1+$B$114)^4.5+($D$57*E$109)/(1+$B$114)^5+$D$82+$D$83+$D$84+$D$85)/$D$89</f>
        <v>168.24632392877504</v>
      </c>
      <c r="F114" s="50">
        <f>($D$44/(1+$B$114)^0.5+$E$44/(1+$B$114)^1.5+$F$44/(1+$B$114)^2.5+$G$44/(1+$B$114)^3.5+$H$44/(1+$B$114)^4.5+($D$57*F$109)/(1+$B$114)^5+$D$82+$D$83+$D$84+$D$85)/$D$89</f>
        <v>180.05628223660185</v>
      </c>
      <c r="G114" s="50">
        <f>($D$44/(1+$B$114)^0.5+$E$44/(1+$B$114)^1.5+$F$44/(1+$B$114)^2.5+$G$44/(1+$B$114)^3.5+$H$44/(1+$B$114)^4.5+($D$57*G$109)/(1+$B$114)^5+$D$82+$D$83+$D$84+$D$85)/$D$89</f>
        <v>191.86624054442868</v>
      </c>
      <c r="H114" s="50">
        <f>($D$44/(1+$B$114)^0.5+$E$44/(1+$B$114)^1.5+$F$44/(1+$B$114)^2.5+$G$44/(1+$B$114)^3.5+$H$44/(1+$B$114)^4.5+($D$57*H$109)/(1+$B$114)^5+$D$82+$D$83+$D$84+$D$85)/$D$89</f>
        <v>203.67619885225551</v>
      </c>
      <c r="I114" s="50">
        <f>($D$44/(1+$B$114)^0.5+$E$44/(1+$B$114)^1.5+$F$44/(1+$B$114)^2.5+$G$44/(1+$B$114)^3.5+$H$44/(1+$B$114)^4.5+($D$57*I$109)/(1+$B$114)^5+$D$82+$D$83+$D$84+$D$85)/$D$89</f>
        <v>215.48615716008237</v>
      </c>
      <c r="J114" s="50">
        <f>($D$44/(1+$B$114)^0.5+$E$44/(1+$B$114)^1.5+$F$44/(1+$B$114)^2.5+$G$44/(1+$B$114)^3.5+$H$44/(1+$B$114)^4.5+($D$57*J$109)/(1+$B$114)^5+$D$82+$D$83+$D$84+$D$85)/$D$89</f>
        <v>227.29611546790915</v>
      </c>
      <c r="K114" s="50">
        <f>($D$44/(1+$B$114)^0.5+$E$44/(1+$B$114)^1.5+$F$44/(1+$B$114)^2.5+$G$44/(1+$B$114)^3.5+$H$44/(1+$B$114)^4.5+($D$57*K$109)/(1+$B$114)^5+$D$82+$D$83+$D$84+$D$85)/$D$89</f>
        <v>239.10607377573598</v>
      </c>
      <c r="L114" s="50">
        <f>($D$44/(1+$B$114)^0.5+$E$44/(1+$B$114)^1.5+$F$44/(1+$B$114)^2.5+$G$44/(1+$B$114)^3.5+$H$44/(1+$B$114)^4.5+($D$57*L$109)/(1+$B$114)^5+$D$82+$D$83+$D$84+$D$85)/$D$89</f>
        <v>250.91603208356278</v>
      </c>
    </row>
    <row r="115" spans="2:12" x14ac:dyDescent="0.25">
      <c r="B115" s="88">
        <v>0.14000000000000001</v>
      </c>
      <c r="C115" s="4"/>
      <c r="D115" s="50">
        <f>($D$44/(1+$B$115)^0.5+$E$44/(1+$B$115)^1.5+$F$44/(1+$B$115)^2.5+$G$44/(1+$B$115)^3.5+$H$44/(1+$B$115)^4.5+($D$57*D$109)/(1+$B$115)^5+$D$82+$D$83+$D$84+$D$85)/$D$89</f>
        <v>150.8098025576586</v>
      </c>
      <c r="E115" s="50">
        <f>($D$44/(1+$B$115)^0.5+$E$44/(1+$B$115)^1.5+$F$44/(1+$B$115)^2.5+$G$44/(1+$B$115)^3.5+$H$44/(1+$B$115)^4.5+($D$57*E$109)/(1+$B$115)^5+$D$82+$D$83+$D$84+$D$85)/$D$89</f>
        <v>162.11078825253375</v>
      </c>
      <c r="F115" s="50">
        <f>($D$44/(1+$B$115)^0.5+$E$44/(1+$B$115)^1.5+$F$44/(1+$B$115)^2.5+$G$44/(1+$B$115)^3.5+$H$44/(1+$B$115)^4.5+($D$57*F$109)/(1+$B$115)^5+$D$82+$D$83+$D$84+$D$85)/$D$89</f>
        <v>173.41177394740893</v>
      </c>
      <c r="G115" s="50">
        <f>($D$44/(1+$B$115)^0.5+$E$44/(1+$B$115)^1.5+$F$44/(1+$B$115)^2.5+$G$44/(1+$B$115)^3.5+$H$44/(1+$B$115)^4.5+($D$57*G$109)/(1+$B$115)^5+$D$82+$D$83+$D$84+$D$85)/$D$89</f>
        <v>184.71275964228408</v>
      </c>
      <c r="H115" s="50">
        <f>($D$44/(1+$B$115)^0.5+$E$44/(1+$B$115)^1.5+$F$44/(1+$B$115)^2.5+$G$44/(1+$B$115)^3.5+$H$44/(1+$B$115)^4.5+($D$57*H$109)/(1+$B$115)^5+$D$82+$D$83+$D$84+$D$85)/$D$89</f>
        <v>196.01374533715924</v>
      </c>
      <c r="I115" s="50">
        <f>($D$44/(1+$B$115)^0.5+$E$44/(1+$B$115)^1.5+$F$44/(1+$B$115)^2.5+$G$44/(1+$B$115)^3.5+$H$44/(1+$B$115)^4.5+($D$57*I$109)/(1+$B$115)^5+$D$82+$D$83+$D$84+$D$85)/$D$89</f>
        <v>207.31473103203442</v>
      </c>
      <c r="J115" s="50">
        <f>($D$44/(1+$B$115)^0.5+$E$44/(1+$B$115)^1.5+$F$44/(1+$B$115)^2.5+$G$44/(1+$B$115)^3.5+$H$44/(1+$B$115)^4.5+($D$57*J$109)/(1+$B$115)^5+$D$82+$D$83+$D$84+$D$85)/$D$89</f>
        <v>218.61571672690957</v>
      </c>
      <c r="K115" s="50">
        <f>($D$44/(1+$B$115)^0.5+$E$44/(1+$B$115)^1.5+$F$44/(1+$B$115)^2.5+$G$44/(1+$B$115)^3.5+$H$44/(1+$B$115)^4.5+($D$57*K$109)/(1+$B$115)^5+$D$82+$D$83+$D$84+$D$85)/$D$89</f>
        <v>229.91670242178472</v>
      </c>
      <c r="L115" s="50">
        <f>($D$44/(1+$B$115)^0.5+$E$44/(1+$B$115)^1.5+$F$44/(1+$B$115)^2.5+$G$44/(1+$B$115)^3.5+$H$44/(1+$B$115)^4.5+($D$57*L$109)/(1+$B$115)^5+$D$82+$D$83+$D$84+$D$85)/$D$89</f>
        <v>241.21768811665987</v>
      </c>
    </row>
    <row r="116" spans="2:12" x14ac:dyDescent="0.25">
      <c r="B116" s="88">
        <v>0.15</v>
      </c>
      <c r="C116" s="4"/>
      <c r="D116" s="50">
        <f>($D$44/(1+$B$116)^0.5+$E$44/(1+$B$116)^1.5+$F$44/(1+$B$116)^2.5+$G$44/(1+$B$116)^3.5+$H$44/(1+$B$116)^4.5+($D$57*D$109)/(1+$B$116)^5+$D$82+$D$83+$D$84+$D$85)/$D$89</f>
        <v>145.44033546097705</v>
      </c>
      <c r="E116" s="50">
        <f>($D$44/(1+$B$116)^0.5+$E$44/(1+$B$116)^1.5+$F$44/(1+$B$116)^2.5+$G$44/(1+$B$116)^3.5+$H$44/(1+$B$116)^4.5+($D$57*E$109)/(1+$B$116)^5+$D$82+$D$83+$D$84+$D$85)/$D$89</f>
        <v>156.2584451371861</v>
      </c>
      <c r="F116" s="50">
        <f>($D$44/(1+$B$116)^0.5+$E$44/(1+$B$116)^1.5+$F$44/(1+$B$116)^2.5+$G$44/(1+$B$116)^3.5+$H$44/(1+$B$116)^4.5+($D$57*F$109)/(1+$B$116)^5+$D$82+$D$83+$D$84+$D$85)/$D$89</f>
        <v>167.07655481339521</v>
      </c>
      <c r="G116" s="50">
        <f>($D$44/(1+$B$116)^0.5+$E$44/(1+$B$116)^1.5+$F$44/(1+$B$116)^2.5+$G$44/(1+$B$116)^3.5+$H$44/(1+$B$116)^4.5+($D$57*G$109)/(1+$B$116)^5+$D$82+$D$83+$D$84+$D$85)/$D$89</f>
        <v>177.89466448960431</v>
      </c>
      <c r="H116" s="50">
        <f>($D$44/(1+$B$116)^0.5+$E$44/(1+$B$116)^1.5+$F$44/(1+$B$116)^2.5+$G$44/(1+$B$116)^3.5+$H$44/(1+$B$116)^4.5+($D$57*H$109)/(1+$B$116)^5+$D$82+$D$83+$D$84+$D$85)/$D$89</f>
        <v>188.71277416581336</v>
      </c>
      <c r="I116" s="50">
        <f>($D$44/(1+$B$116)^0.5+$E$44/(1+$B$116)^1.5+$F$44/(1+$B$116)^2.5+$G$44/(1+$B$116)^3.5+$H$44/(1+$B$116)^4.5+($D$57*I$109)/(1+$B$116)^5+$D$82+$D$83+$D$84+$D$85)/$D$89</f>
        <v>199.53088384202249</v>
      </c>
      <c r="J116" s="50">
        <f>($D$44/(1+$B$116)^0.5+$E$44/(1+$B$116)^1.5+$F$44/(1+$B$116)^2.5+$G$44/(1+$B$116)^3.5+$H$44/(1+$B$116)^4.5+($D$57*J$109)/(1+$B$116)^5+$D$82+$D$83+$D$84+$D$85)/$D$89</f>
        <v>210.34899351823154</v>
      </c>
      <c r="K116" s="50">
        <f>($D$44/(1+$B$116)^0.5+$E$44/(1+$B$116)^1.5+$F$44/(1+$B$116)^2.5+$G$44/(1+$B$116)^3.5+$H$44/(1+$B$116)^4.5+($D$57*K$109)/(1+$B$116)^5+$D$82+$D$83+$D$84+$D$85)/$D$89</f>
        <v>221.16710319444061</v>
      </c>
      <c r="L116" s="50">
        <f>($D$44/(1+$B$116)^0.5+$E$44/(1+$B$116)^1.5+$F$44/(1+$B$116)^2.5+$G$44/(1+$B$116)^3.5+$H$44/(1+$B$116)^4.5+($D$57*L$109)/(1+$B$116)^5+$D$82+$D$83+$D$84+$D$85)/$D$89</f>
        <v>231.98521287064975</v>
      </c>
    </row>
  </sheetData>
  <conditionalFormatting sqref="D99:L1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:L1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01524DC532D42A0E0ED886331A72B" ma:contentTypeVersion="13" ma:contentTypeDescription="Create a new document." ma:contentTypeScope="" ma:versionID="d936d863d335d354da51eb78ca1ae338">
  <xsd:schema xmlns:xsd="http://www.w3.org/2001/XMLSchema" xmlns:xs="http://www.w3.org/2001/XMLSchema" xmlns:p="http://schemas.microsoft.com/office/2006/metadata/properties" xmlns:ns2="f577acbf-5b0b-4b4f-9948-268e97f8d3a4" xmlns:ns3="b1e4d6ee-9f6f-43f8-a618-24f3d84da28f" targetNamespace="http://schemas.microsoft.com/office/2006/metadata/properties" ma:root="true" ma:fieldsID="5fbac08d56b1b04aa33acbc31e882ce9" ns2:_="" ns3:_="">
    <xsd:import namespace="f577acbf-5b0b-4b4f-9948-268e97f8d3a4"/>
    <xsd:import namespace="b1e4d6ee-9f6f-43f8-a618-24f3d84da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Document_x0020_Purpose" minOccurs="0"/>
                <xsd:element ref="ns2:Initiative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acbf-5b0b-4b4f-9948-268e97f8d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_x0020_Purpose" ma:index="14" nillable="true" ma:displayName="Document Purpose" ma:default="Informational" ma:format="Dropdown" ma:internalName="Document_x0020_Purpose">
      <xsd:simpleType>
        <xsd:restriction base="dms:Choice">
          <xsd:enumeration value="Informational"/>
          <xsd:enumeration value="Feature Spec"/>
          <xsd:enumeration value="Engineering Design"/>
          <xsd:enumeration value="Planning"/>
        </xsd:restriction>
      </xsd:simpleType>
    </xsd:element>
    <xsd:element name="Initiatives" ma:index="15" nillable="true" ma:displayName="Initiatives" ma:description="List of initiatives related to this document" ma:internalName="Initiativ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d-in MAU"/>
                    <xsd:enumeration value="Custom Functions"/>
                    <xsd:enumeration value="Data &amp; Analytics"/>
                    <xsd:enumeration value="DevEx: Portals &amp; Programs"/>
                    <xsd:enumeration value="DevEx: Tools &amp; Libraries"/>
                    <xsd:enumeration value="Engineering"/>
                    <xsd:enumeration value="Excel API"/>
                    <xsd:enumeration value="In-Market Support"/>
                    <xsd:enumeration value="Maker Access"/>
                    <xsd:enumeration value="SDX Runtime &amp; Partners"/>
                    <xsd:enumeration value="SDX Service Delivery"/>
                    <xsd:enumeration value="SDX API &amp; Pipeline"/>
                    <xsd:enumeration value="Shield &amp; OCE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4d6ee-9f6f-43f8-a618-24f3d84da2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3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Purpose xmlns="f577acbf-5b0b-4b4f-9948-268e97f8d3a4">Informational</Document_x0020_Purpose>
    <Initiatives xmlns="f577acbf-5b0b-4b4f-9948-268e97f8d3a4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6A393-DB36-49FF-B8B1-6D5559B7A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7acbf-5b0b-4b4f-9948-268e97f8d3a4"/>
    <ds:schemaRef ds:uri="b1e4d6ee-9f6f-43f8-a618-24f3d84da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B5453-596E-4CE8-BCCA-8DF4D5465AF4}">
  <ds:schemaRefs>
    <ds:schemaRef ds:uri="http://schemas.microsoft.com/office/2006/metadata/properties"/>
    <ds:schemaRef ds:uri="b1e4d6ee-9f6f-43f8-a618-24f3d84da28f"/>
    <ds:schemaRef ds:uri="http://purl.org/dc/terms/"/>
    <ds:schemaRef ds:uri="http://schemas.openxmlformats.org/package/2006/metadata/core-properties"/>
    <ds:schemaRef ds:uri="f577acbf-5b0b-4b4f-9948-268e97f8d3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48E296-90D9-4A92-A29D-759F46DCA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Income Statement</vt:lpstr>
      <vt:lpstr>Balance Sheet</vt:lpstr>
      <vt:lpstr>Cash Flow</vt:lpstr>
      <vt:lpstr>DCF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 LS Shelembe</cp:lastModifiedBy>
  <dcterms:created xsi:type="dcterms:W3CDTF">2018-06-07T17:34:22Z</dcterms:created>
  <dcterms:modified xsi:type="dcterms:W3CDTF">2026-05-31T20:04:33Z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0x010100CD401524DC532D42A0E0ED886331A72B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iteId">
    <vt:lpwstr>72f988bf-86f1-41af-91ab-2d7cd011db47</vt:lpwstr>
  </property>
  <property fmtid="{D5CDD505-2E9C-101B-9397-08002B2CF9AE}" pid="5" name="MSIP_Label_f42aa342-8706-4288-bd11-ebb85995028c_Owner">
    <vt:lpwstr>t-dahop@microsoft.com</vt:lpwstr>
  </property>
  <property fmtid="{D5CDD505-2E9C-101B-9397-08002B2CF9AE}" pid="6" name="MSIP_Label_f42aa342-8706-4288-bd11-ebb85995028c_SetDate">
    <vt:lpwstr>2018-06-18T14:22:57.3833839Z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shortcut_file_id">
    <vt:lpwstr>8f206502-ba00-4073-b900-1b15d2e0dccb</vt:lpwstr>
  </property>
</Properties>
</file>